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\SF Region\Rate App 2017\Rate Models\RSF\Final Submitted\"/>
    </mc:Choice>
  </mc:AlternateContent>
  <bookViews>
    <workbookView xWindow="0" yWindow="0" windowWidth="28800" windowHeight="12330" tabRatio="949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" sheetId="6" r:id="rId6"/>
    <sheet name="F.1" sheetId="7" r:id="rId7"/>
    <sheet name="F.2" sheetId="8" r:id="rId8"/>
    <sheet name="F.3" sheetId="9" r:id="rId9"/>
    <sheet name="F.4" sheetId="10" r:id="rId10"/>
    <sheet name="G.1" sheetId="11" r:id="rId11"/>
    <sheet name="G.2" sheetId="12" r:id="rId12"/>
    <sheet name="G.3" sheetId="13" r:id="rId13"/>
    <sheet name="G.4" sheetId="14" r:id="rId14"/>
    <sheet name="H.1" sheetId="15" r:id="rId15"/>
    <sheet name="H.2" sheetId="16" r:id="rId16"/>
    <sheet name="H.3" sheetId="17" r:id="rId17"/>
    <sheet name="I" sheetId="18" r:id="rId18"/>
    <sheet name="J.1" sheetId="19" r:id="rId19"/>
    <sheet name="J.2" sheetId="20" r:id="rId20"/>
    <sheet name="J.3" sheetId="21" r:id="rId21"/>
    <sheet name="K.1" sheetId="22" r:id="rId22"/>
    <sheet name="K.2" sheetId="23" r:id="rId23"/>
    <sheet name="L.1" sheetId="24" r:id="rId24"/>
    <sheet name="L.2" sheetId="25" r:id="rId25"/>
    <sheet name="L.3" sheetId="26" r:id="rId26"/>
    <sheet name="L.4" sheetId="27" r:id="rId27"/>
    <sheet name="L.5" sheetId="28" r:id="rId28"/>
    <sheet name="L.6" sheetId="29" r:id="rId29"/>
    <sheet name="M.1" sheetId="30" r:id="rId30"/>
    <sheet name="M.2" sheetId="31" r:id="rId31"/>
    <sheet name="CS1 RSF" sheetId="32" r:id="rId32"/>
    <sheet name="CS1_B " sheetId="33" r:id="rId33"/>
    <sheet name="CS1_D" sheetId="34" r:id="rId34"/>
    <sheet name="CS1_F.1" sheetId="35" r:id="rId35"/>
    <sheet name="CS1_G.1" sheetId="36" r:id="rId36"/>
    <sheet name="CS1_H.1" sheetId="37" r:id="rId37"/>
    <sheet name="CS1_H.2" sheetId="38" r:id="rId38"/>
    <sheet name="CS1_H.3" sheetId="39" r:id="rId39"/>
    <sheet name="CS2 RSF" sheetId="40" r:id="rId40"/>
    <sheet name="CS2_B" sheetId="41" r:id="rId41"/>
    <sheet name="CS2_D" sheetId="42" r:id="rId42"/>
    <sheet name="CS2_F.1" sheetId="43" r:id="rId43"/>
    <sheet name="CS2_G.1" sheetId="44" r:id="rId44"/>
    <sheet name="CS2_H.1" sheetId="45" r:id="rId45"/>
    <sheet name="CS2_H.2" sheetId="46" r:id="rId46"/>
    <sheet name="CS2_H.3" sheetId="47" r:id="rId47"/>
  </sheets>
  <externalReferences>
    <externalReference r:id="rId48"/>
    <externalReference r:id="rId49"/>
    <externalReference r:id="rId50"/>
    <externalReference r:id="rId51"/>
    <externalReference r:id="rId52"/>
  </externalReferences>
  <definedNames>
    <definedName name="_" localSheetId="35" hidden="1">#REF!</definedName>
    <definedName name="_" localSheetId="37" hidden="1">#REF!</definedName>
    <definedName name="_" localSheetId="45" hidden="1">#REF!</definedName>
    <definedName name="_" hidden="1">#REF!</definedName>
    <definedName name="__" localSheetId="35" hidden="1">#REF!</definedName>
    <definedName name="__" localSheetId="37" hidden="1">#REF!</definedName>
    <definedName name="__" localSheetId="45" hidden="1">#REF!</definedName>
    <definedName name="__" hidden="1">#REF!</definedName>
    <definedName name="___" localSheetId="35" hidden="1">#REF!</definedName>
    <definedName name="___" localSheetId="37" hidden="1">#REF!</definedName>
    <definedName name="___" localSheetId="45" hidden="1">#REF!</definedName>
    <definedName name="___" hidden="1">#REF!</definedName>
    <definedName name="_xlnm._FilterDatabase" localSheetId="33" hidden="1">CS1_D!$B$8:$B$49</definedName>
    <definedName name="_xlnm._FilterDatabase" localSheetId="37" hidden="1">CS1_H.2!#REF!</definedName>
    <definedName name="_xlnm._FilterDatabase" localSheetId="38" hidden="1">CS1_H.3!#REF!</definedName>
    <definedName name="_xlnm._FilterDatabase" localSheetId="41" hidden="1">CS2_D!$B$8:$B$49</definedName>
    <definedName name="_xlnm._FilterDatabase" localSheetId="45" hidden="1">CS2_H.2!#REF!</definedName>
    <definedName name="_xlnm._FilterDatabase" localSheetId="46" hidden="1">CS2_H.3!#REF!</definedName>
    <definedName name="_xlnm._FilterDatabase" localSheetId="4" hidden="1">D!$A$7:$G$52</definedName>
    <definedName name="_xlnm._FilterDatabase" localSheetId="7" hidden="1">F.2!$A$7:$C$9</definedName>
    <definedName name="_xlnm._FilterDatabase" localSheetId="8" hidden="1">F.3!$A$59:$F$59</definedName>
    <definedName name="_xlnm._FilterDatabase" localSheetId="9" hidden="1">F.4!$A$7:$F$9</definedName>
    <definedName name="_xlnm._FilterDatabase" localSheetId="16" hidden="1">H.3!#REF!</definedName>
    <definedName name="_KEY_1" localSheetId="35" hidden="1">#REF!</definedName>
    <definedName name="_KEY_1" localSheetId="37" hidden="1">#REF!</definedName>
    <definedName name="_KEY_1" localSheetId="45" hidden="1">#REF!</definedName>
    <definedName name="_KEY_1" hidden="1">#REF!</definedName>
    <definedName name="_Key1" localSheetId="31" hidden="1">#REF!</definedName>
    <definedName name="_Key1" localSheetId="35" hidden="1">#REF!</definedName>
    <definedName name="_Key1" localSheetId="37" hidden="1">#REF!</definedName>
    <definedName name="_Key1" localSheetId="39" hidden="1">#REF!</definedName>
    <definedName name="_Key1" localSheetId="45" hidden="1">#REF!</definedName>
    <definedName name="_Key1" localSheetId="5" hidden="1">#REF!</definedName>
    <definedName name="_Key1" localSheetId="11" hidden="1">#REF!</definedName>
    <definedName name="_Key1" localSheetId="24" hidden="1">#REF!</definedName>
    <definedName name="_Key1" hidden="1">#REF!</definedName>
    <definedName name="_Order1" hidden="1">255</definedName>
    <definedName name="_Order2" hidden="1">255</definedName>
    <definedName name="_PPE1">"a2..g127"</definedName>
    <definedName name="_Sort" localSheetId="31" hidden="1">#REF!</definedName>
    <definedName name="_Sort" localSheetId="35" hidden="1">#REF!</definedName>
    <definedName name="_Sort" localSheetId="37" hidden="1">#REF!</definedName>
    <definedName name="_Sort" localSheetId="39" hidden="1">#REF!</definedName>
    <definedName name="_Sort" localSheetId="45" hidden="1">#REF!</definedName>
    <definedName name="_Sort" localSheetId="5" hidden="1">#REF!</definedName>
    <definedName name="_Sort" localSheetId="11" hidden="1">#REF!</definedName>
    <definedName name="_Sort" localSheetId="24" hidden="1">#REF!</definedName>
    <definedName name="_Sort" hidden="1">#REF!</definedName>
    <definedName name="Contract" localSheetId="35">#REF!</definedName>
    <definedName name="Contract" localSheetId="37">#REF!</definedName>
    <definedName name="Contract" localSheetId="45">#REF!</definedName>
    <definedName name="Contract">#REF!</definedName>
    <definedName name="Corporate_Services" localSheetId="35">#REF!</definedName>
    <definedName name="Corporate_Services" localSheetId="37">#REF!</definedName>
    <definedName name="Corporate_Services" localSheetId="45">#REF!</definedName>
    <definedName name="Corporate_Services">#REF!</definedName>
    <definedName name="Download">[1]EE_List_Dwld!$B$6:$V$378</definedName>
    <definedName name="EBIT">[2]Elim!$A$4:$O$7</definedName>
    <definedName name="EBITDA">[2]Elim!$A$4:$O$7</definedName>
    <definedName name="EE_Old">[3]Wkg_EE_List!$B:$B</definedName>
    <definedName name="Emp_List">[3]Wkg_EE_List!$B$8:$P$228</definedName>
    <definedName name="Exception_HireDate">[1]Exceptions!$C$6:$K$35</definedName>
    <definedName name="Exception_Term">[1]Exceptions!$C$109:$O$120</definedName>
    <definedName name="Exception_Vac">[1]Exceptions!$C$39:$R$61</definedName>
    <definedName name="Exps">[2]Elim!$A$4:$O$6</definedName>
    <definedName name="Fleet_Avg_MPG" localSheetId="35">#REF!</definedName>
    <definedName name="Fleet_Avg_MPG" localSheetId="37">#REF!</definedName>
    <definedName name="Fleet_Avg_MPG" localSheetId="45">#REF!</definedName>
    <definedName name="Fleet_Avg_MPG">#REF!</definedName>
    <definedName name="Freight" localSheetId="35">#REF!</definedName>
    <definedName name="Freight" localSheetId="37">#REF!</definedName>
    <definedName name="Freight" localSheetId="45">#REF!</definedName>
    <definedName name="Freight" localSheetId="23">L.1!$A$16:$F$16</definedName>
    <definedName name="Freight">#REF!</definedName>
    <definedName name="Grouping">[3]Grouping!$A:$B</definedName>
    <definedName name="Health" localSheetId="35">#REF!</definedName>
    <definedName name="Health" localSheetId="37">#REF!</definedName>
    <definedName name="Health" localSheetId="45">#REF!</definedName>
    <definedName name="Health">#REF!</definedName>
    <definedName name="Inc_COLA">[4]Parameters!$C$44</definedName>
    <definedName name="Inc_CPI">[4]Parameters!$C$46</definedName>
    <definedName name="Inc_CPI_n_PPI">[4]Parameters!$C$50</definedName>
    <definedName name="Inc_Fixed">[4]Parameters!$C$45</definedName>
    <definedName name="Inc_Fixed_n_PPI">[4]Parameters!$C$49</definedName>
    <definedName name="Inc_Fuel">[4]Parameters!$C$48</definedName>
    <definedName name="Inc_PPI">[4]Parameters!$C$47</definedName>
    <definedName name="Liability" localSheetId="35">#REF!</definedName>
    <definedName name="Liability" localSheetId="37">#REF!</definedName>
    <definedName name="Liability" localSheetId="45">#REF!</definedName>
    <definedName name="Liability">#REF!</definedName>
    <definedName name="Licenses" localSheetId="35">#REF!</definedName>
    <definedName name="Licenses" localSheetId="37">#REF!</definedName>
    <definedName name="Licenses" localSheetId="45">#REF!</definedName>
    <definedName name="Licenses">#REF!</definedName>
    <definedName name="Net_Income">[2]Elim!$A$4:$O$7</definedName>
    <definedName name="NONU">[1]Vac_Table!$C$15:$F$22</definedName>
    <definedName name="NonU_Rate" localSheetId="35">#REF!</definedName>
    <definedName name="NonU_Rate" localSheetId="37">#REF!</definedName>
    <definedName name="NonU_Rate" localSheetId="45">#REF!</definedName>
    <definedName name="NonU_Rate">#REF!</definedName>
    <definedName name="Office_Exp" localSheetId="35">#REF!</definedName>
    <definedName name="Office_Exp" localSheetId="37">#REF!</definedName>
    <definedName name="Office_Exp" localSheetId="45">#REF!</definedName>
    <definedName name="Office_Exp">#REF!</definedName>
    <definedName name="Oil" localSheetId="35">#REF!</definedName>
    <definedName name="Oil" localSheetId="37">#REF!</definedName>
    <definedName name="Oil" localSheetId="45">#REF!</definedName>
    <definedName name="Oil">#REF!</definedName>
    <definedName name="OS_Disposal" localSheetId="35">#REF!</definedName>
    <definedName name="OS_Disposal" localSheetId="37">#REF!</definedName>
    <definedName name="OS_Disposal" localSheetId="45">#REF!</definedName>
    <definedName name="OS_Disposal" localSheetId="20">J.3!$A$18:$F$18</definedName>
    <definedName name="OS_Disposal">#REF!</definedName>
    <definedName name="Payroll" localSheetId="35">#REF!</definedName>
    <definedName name="Payroll" localSheetId="37">#REF!</definedName>
    <definedName name="Payroll" localSheetId="45">#REF!</definedName>
    <definedName name="Payroll">#REF!</definedName>
    <definedName name="PC">[4]SCV_RY2014_Only!$E$3</definedName>
    <definedName name="Pension" localSheetId="35">#REF!</definedName>
    <definedName name="Pension" localSheetId="37">#REF!</definedName>
    <definedName name="Pension" localSheetId="45">#REF!</definedName>
    <definedName name="Pension">#REF!</definedName>
    <definedName name="_xlnm.Print_Area" localSheetId="1">A!$A$1:$F$10</definedName>
    <definedName name="_xlnm.Print_Area" localSheetId="2">B!$A$2:$B$40</definedName>
    <definedName name="_xlnm.Print_Area" localSheetId="32">'CS1_B '!$A$2:$C$33</definedName>
    <definedName name="_xlnm.Print_Area" localSheetId="33">CS1_D!$A$1:$C$55</definedName>
    <definedName name="_xlnm.Print_Area" localSheetId="34">CS1_F.1!$A$1:$B$34</definedName>
    <definedName name="_xlnm.Print_Area" localSheetId="36">CS1_H.1!$A$1:$C$11</definedName>
    <definedName name="_xlnm.Print_Area" localSheetId="37">CS1_H.2!$A$1:$E$22</definedName>
    <definedName name="_xlnm.Print_Area" localSheetId="38">CS1_H.3!$A$1:$F$11</definedName>
    <definedName name="_xlnm.Print_Area" localSheetId="40">CS2_B!$A$2:$C$33</definedName>
    <definedName name="_xlnm.Print_Area" localSheetId="41">CS2_D!$A$1:$C$55</definedName>
    <definedName name="_xlnm.Print_Area" localSheetId="42">CS2_F.1!$A$1:$B$34</definedName>
    <definedName name="_xlnm.Print_Area" localSheetId="44">CS2_H.1!$A$1:$C$11</definedName>
    <definedName name="_xlnm.Print_Area" localSheetId="45">CS2_H.2!$A$1:$E$19</definedName>
    <definedName name="_xlnm.Print_Area" localSheetId="46">CS2_H.3!$A$1:$F$12</definedName>
    <definedName name="_xlnm.Print_Area" localSheetId="4">D!$A$1:$G$55</definedName>
    <definedName name="_xlnm.Print_Area" localSheetId="5">E!$A$1:$U$62</definedName>
    <definedName name="_xlnm.Print_Area" localSheetId="6">F.1!$A$1:$F$34</definedName>
    <definedName name="_xlnm.Print_Area" localSheetId="7">F.2!$A$1:$C$25</definedName>
    <definedName name="_xlnm.Print_Area" localSheetId="8">F.3!$A$1:$G$88</definedName>
    <definedName name="_xlnm.Print_Area" localSheetId="9">F.4!$A$1:$F$14</definedName>
    <definedName name="_xlnm.Print_Area" localSheetId="10">G.1!$A$1:$K$700</definedName>
    <definedName name="_xlnm.Print_Area" localSheetId="11">G.2!$A$2:$F$31</definedName>
    <definedName name="_xlnm.Print_Area" localSheetId="12">G.3!$A$2:$E$30</definedName>
    <definedName name="_xlnm.Print_Area" localSheetId="13">G.4!$A$1:$F$10</definedName>
    <definedName name="_xlnm.Print_Area" localSheetId="14">H.1!$A$1:$F$36</definedName>
    <definedName name="_xlnm.Print_Area" localSheetId="15">H.2!$A$1:$J$61</definedName>
    <definedName name="_xlnm.Print_Area" localSheetId="16">H.3!$A$1:$F$35</definedName>
    <definedName name="_xlnm.Print_Area" localSheetId="17">I!$A$1:$G$10</definedName>
    <definedName name="_xlnm.Print_Area" localSheetId="0">Index!$A$1:$B$38</definedName>
    <definedName name="_xlnm.Print_Area" localSheetId="18">J.1!$A$1:$H$39</definedName>
    <definedName name="_xlnm.Print_Area" localSheetId="19">J.2!$A$1:$F$59</definedName>
    <definedName name="_xlnm.Print_Area" localSheetId="20">J.3!$A$1:$F$19</definedName>
    <definedName name="_xlnm.Print_Area" localSheetId="21">K.1!$A$1:$G$25</definedName>
    <definedName name="_xlnm.Print_Area" localSheetId="22">K.2!$A$1:$G$50</definedName>
    <definedName name="_xlnm.Print_Area" localSheetId="23">L.1!$A$1:$G$17</definedName>
    <definedName name="_xlnm.Print_Area" localSheetId="24">L.2!$A$1:$F$45</definedName>
    <definedName name="_xlnm.Print_Area" localSheetId="25">L.3!$A$1:$F$106</definedName>
    <definedName name="_xlnm.Print_Area" localSheetId="26">L.4!$A$1:$F$32</definedName>
    <definedName name="_xlnm.Print_Area" localSheetId="27">L.5!$A$1:$G$20</definedName>
    <definedName name="_xlnm.Print_Area" localSheetId="28">L.6!$A$1:$F$100</definedName>
    <definedName name="_xlnm.Print_Area" localSheetId="29">M.1!$A$1:$F$14</definedName>
    <definedName name="_xlnm.Print_Area" localSheetId="30">M.2!$A$1:$F$18</definedName>
    <definedName name="_xlnm.Print_Titles" localSheetId="2">B!$2:$7</definedName>
    <definedName name="_xlnm.Print_Titles" localSheetId="32">'CS1_B '!$2:$8</definedName>
    <definedName name="_xlnm.Print_Titles" localSheetId="33">CS1_D!$A:$B,CS1_D!$5:$8</definedName>
    <definedName name="_xlnm.Print_Titles" localSheetId="40">CS2_B!$2:$8</definedName>
    <definedName name="_xlnm.Print_Titles" localSheetId="41">CS2_D!$A:$B,CS2_D!$5:$8</definedName>
    <definedName name="_xlnm.Print_Titles" localSheetId="5">E!$A:$A,E!$1:$7</definedName>
    <definedName name="_xlnm.Print_Titles" localSheetId="8">F.3!$A:$A,F.3!$1:$6</definedName>
    <definedName name="_xlnm.Print_Titles" localSheetId="9">F.4!$1:$6</definedName>
    <definedName name="_xlnm.Print_Titles" localSheetId="10">G.1!$1:$7</definedName>
    <definedName name="_xlnm.Print_Titles" localSheetId="15">H.2!$1:$13</definedName>
    <definedName name="_xlnm.Print_Titles" localSheetId="20">J.3!$1:$7</definedName>
    <definedName name="_xlnm.Print_Titles" localSheetId="22">K.2!$1:$7</definedName>
    <definedName name="_xlnm.Print_Titles" localSheetId="24">L.2!$1:$8</definedName>
    <definedName name="_xlnm.Print_Titles" localSheetId="25">L.3!$1:$8</definedName>
    <definedName name="_xlnm.Print_Titles" localSheetId="28">L.6!$1:$7</definedName>
    <definedName name="Processing_fees" localSheetId="35">#REF!</definedName>
    <definedName name="Processing_fees" localSheetId="37">#REF!</definedName>
    <definedName name="Processing_fees" localSheetId="45">#REF!</definedName>
    <definedName name="Processing_fees">#REF!</definedName>
    <definedName name="Professional_Services" localSheetId="35">#REF!</definedName>
    <definedName name="Professional_Services" localSheetId="37">#REF!</definedName>
    <definedName name="Professional_Services" localSheetId="45">#REF!</definedName>
    <definedName name="Professional_Services">#REF!</definedName>
    <definedName name="Recy_2007" localSheetId="8">F.3!#REF!</definedName>
    <definedName name="Recy_2008" localSheetId="8">F.3!#REF!</definedName>
    <definedName name="Recy_2009" localSheetId="8">F.3!$E:$E</definedName>
    <definedName name="Recy_2010" localSheetId="8">F.3!$F:$F</definedName>
    <definedName name="Repairs" localSheetId="35">#REF!</definedName>
    <definedName name="Repairs" localSheetId="37">#REF!</definedName>
    <definedName name="Repairs" localSheetId="45">#REF!</definedName>
    <definedName name="Repairs">#REF!</definedName>
    <definedName name="Rev">[2]Elim!$4:$5</definedName>
    <definedName name="RP_2007" localSheetId="22">K.2!#REF!</definedName>
    <definedName name="RP_2008" localSheetId="22">K.2!#REF!</definedName>
    <definedName name="RP_2009" localSheetId="22">K.2!$E:$E</definedName>
    <definedName name="RP_2010" localSheetId="22">K.2!$F:$F</definedName>
    <definedName name="RSP" localSheetId="35">#REF!</definedName>
    <definedName name="RSP" localSheetId="37">#REF!</definedName>
    <definedName name="RSP" localSheetId="45">#REF!</definedName>
    <definedName name="RSP">#REF!</definedName>
    <definedName name="RSP_Amort" localSheetId="35">#REF!</definedName>
    <definedName name="RSP_Amort" localSheetId="37">#REF!</definedName>
    <definedName name="RSP_Amort" localSheetId="45">#REF!</definedName>
    <definedName name="RSP_Amort">#REF!</definedName>
    <definedName name="SS_Y">[5]ss_y_0908!$A$533:$J$801</definedName>
    <definedName name="SS_Y2">[5]ss_y_0908!$A$764:$IV$785</definedName>
    <definedName name="SS_Z">[5]ss_z_0908!$A$159:$J$240</definedName>
    <definedName name="SS_Z_2">[5]ss_z_0908!$A$231:$IV$239</definedName>
    <definedName name="Supplies" localSheetId="35">#REF!</definedName>
    <definedName name="Supplies" localSheetId="37">#REF!</definedName>
    <definedName name="Supplies" localSheetId="45">#REF!</definedName>
    <definedName name="Supplies">#REF!</definedName>
    <definedName name="Table">[1]Table!$A$1:$B$12</definedName>
    <definedName name="UNION">[1]Vac_Table!$C$3:$F$11</definedName>
    <definedName name="UNION2">[1]Vac_Table!$C$26:$F$35</definedName>
    <definedName name="WC" localSheetId="35">#REF!</definedName>
    <definedName name="WC" localSheetId="37">#REF!</definedName>
    <definedName name="WC" localSheetId="45">#REF!</definedName>
    <definedName name="WC">#REF!</definedName>
    <definedName name="Z_18579C8B_EEAF_4635_8890_9EF17E57257D_.wvu.Cols" localSheetId="2" hidden="1">B!#REF!</definedName>
    <definedName name="Z_18579C8B_EEAF_4635_8890_9EF17E57257D_.wvu.Cols" localSheetId="5" hidden="1">E!#REF!</definedName>
    <definedName name="Z_18579C8B_EEAF_4635_8890_9EF17E57257D_.wvu.Cols" localSheetId="6" hidden="1">F.1!#REF!</definedName>
    <definedName name="Z_18579C8B_EEAF_4635_8890_9EF17E57257D_.wvu.Cols" localSheetId="8" hidden="1">F.3!#REF!,F.3!#REF!</definedName>
    <definedName name="Z_18579C8B_EEAF_4635_8890_9EF17E57257D_.wvu.Cols" localSheetId="10" hidden="1">G.1!#REF!,G.1!#REF!</definedName>
    <definedName name="Z_18579C8B_EEAF_4635_8890_9EF17E57257D_.wvu.Cols" localSheetId="19" hidden="1">J.2!#REF!</definedName>
    <definedName name="Z_18579C8B_EEAF_4635_8890_9EF17E57257D_.wvu.Cols" localSheetId="20" hidden="1">J.3!$G:$H</definedName>
    <definedName name="Z_18579C8B_EEAF_4635_8890_9EF17E57257D_.wvu.Cols" localSheetId="23" hidden="1">L.1!#REF!</definedName>
    <definedName name="Z_18579C8B_EEAF_4635_8890_9EF17E57257D_.wvu.Cols" localSheetId="24" hidden="1">L.2!$H:$AD</definedName>
    <definedName name="Z_18579C8B_EEAF_4635_8890_9EF17E57257D_.wvu.FilterData" localSheetId="33" hidden="1">CS1_D!$B$8:$B$49</definedName>
    <definedName name="Z_18579C8B_EEAF_4635_8890_9EF17E57257D_.wvu.FilterData" localSheetId="41" hidden="1">CS2_D!$B$8:$B$49</definedName>
    <definedName name="Z_18579C8B_EEAF_4635_8890_9EF17E57257D_.wvu.FilterData" localSheetId="4" hidden="1">D!$A$7:$G$52</definedName>
    <definedName name="Z_18579C8B_EEAF_4635_8890_9EF17E57257D_.wvu.FilterData" localSheetId="7" hidden="1">F.2!$A$7:$C$9</definedName>
    <definedName name="Z_18579C8B_EEAF_4635_8890_9EF17E57257D_.wvu.FilterData" localSheetId="8" hidden="1">F.3!$A$59:$F$59</definedName>
    <definedName name="Z_18579C8B_EEAF_4635_8890_9EF17E57257D_.wvu.FilterData" localSheetId="9" hidden="1">F.4!$A$7:$F$9</definedName>
    <definedName name="Z_18579C8B_EEAF_4635_8890_9EF17E57257D_.wvu.FilterData" localSheetId="10" hidden="1">G.1!#REF!</definedName>
    <definedName name="Z_18579C8B_EEAF_4635_8890_9EF17E57257D_.wvu.PrintArea" localSheetId="1" hidden="1">A!$A$1:$F$10</definedName>
    <definedName name="Z_18579C8B_EEAF_4635_8890_9EF17E57257D_.wvu.PrintArea" localSheetId="2" hidden="1">B!$A$2:$B$40</definedName>
    <definedName name="Z_18579C8B_EEAF_4635_8890_9EF17E57257D_.wvu.PrintArea" localSheetId="32" hidden="1">'CS1_B '!$A$2:$C$33</definedName>
    <definedName name="Z_18579C8B_EEAF_4635_8890_9EF17E57257D_.wvu.PrintArea" localSheetId="33" hidden="1">CS1_D!$A$1:$C$55</definedName>
    <definedName name="Z_18579C8B_EEAF_4635_8890_9EF17E57257D_.wvu.PrintArea" localSheetId="34" hidden="1">CS1_F.1!$A$1:$B$34</definedName>
    <definedName name="Z_18579C8B_EEAF_4635_8890_9EF17E57257D_.wvu.PrintArea" localSheetId="36" hidden="1">CS1_H.1!$A$1:$C$11</definedName>
    <definedName name="Z_18579C8B_EEAF_4635_8890_9EF17E57257D_.wvu.PrintArea" localSheetId="37" hidden="1">CS1_H.2!$A$1:$F$21</definedName>
    <definedName name="Z_18579C8B_EEAF_4635_8890_9EF17E57257D_.wvu.PrintArea" localSheetId="38" hidden="1">CS1_H.3!$A$1:$F$11</definedName>
    <definedName name="Z_18579C8B_EEAF_4635_8890_9EF17E57257D_.wvu.PrintArea" localSheetId="40" hidden="1">CS2_B!$A$2:$C$33</definedName>
    <definedName name="Z_18579C8B_EEAF_4635_8890_9EF17E57257D_.wvu.PrintArea" localSheetId="41" hidden="1">CS2_D!$A$1:$C$55</definedName>
    <definedName name="Z_18579C8B_EEAF_4635_8890_9EF17E57257D_.wvu.PrintArea" localSheetId="42" hidden="1">CS2_F.1!$A$1:$B$34</definedName>
    <definedName name="Z_18579C8B_EEAF_4635_8890_9EF17E57257D_.wvu.PrintArea" localSheetId="44" hidden="1">CS2_H.1!$A$1:$C$11</definedName>
    <definedName name="Z_18579C8B_EEAF_4635_8890_9EF17E57257D_.wvu.PrintArea" localSheetId="45" hidden="1">CS2_H.2!$A$1:$F$19</definedName>
    <definedName name="Z_18579C8B_EEAF_4635_8890_9EF17E57257D_.wvu.PrintArea" localSheetId="46" hidden="1">CS2_H.3!$A$1:$F$12</definedName>
    <definedName name="Z_18579C8B_EEAF_4635_8890_9EF17E57257D_.wvu.PrintArea" localSheetId="4" hidden="1">D!$A$1:$G$55</definedName>
    <definedName name="Z_18579C8B_EEAF_4635_8890_9EF17E57257D_.wvu.PrintArea" localSheetId="5" hidden="1">E!$A$8:$U$62</definedName>
    <definedName name="Z_18579C8B_EEAF_4635_8890_9EF17E57257D_.wvu.PrintArea" localSheetId="6" hidden="1">F.1!$A$1:$F$34</definedName>
    <definedName name="Z_18579C8B_EEAF_4635_8890_9EF17E57257D_.wvu.PrintArea" localSheetId="7" hidden="1">F.2!$A$1:$C$25</definedName>
    <definedName name="Z_18579C8B_EEAF_4635_8890_9EF17E57257D_.wvu.PrintArea" localSheetId="8" hidden="1">F.3!$A$1:$G$88</definedName>
    <definedName name="Z_18579C8B_EEAF_4635_8890_9EF17E57257D_.wvu.PrintArea" localSheetId="9" hidden="1">F.4!$A$1:$F$14</definedName>
    <definedName name="Z_18579C8B_EEAF_4635_8890_9EF17E57257D_.wvu.PrintArea" localSheetId="10" hidden="1">G.1!$A$1:$K$700</definedName>
    <definedName name="Z_18579C8B_EEAF_4635_8890_9EF17E57257D_.wvu.PrintArea" localSheetId="11" hidden="1">G.2!$A$2:$F$31</definedName>
    <definedName name="Z_18579C8B_EEAF_4635_8890_9EF17E57257D_.wvu.PrintArea" localSheetId="12" hidden="1">G.3!$A$2:$E$30</definedName>
    <definedName name="Z_18579C8B_EEAF_4635_8890_9EF17E57257D_.wvu.PrintArea" localSheetId="13" hidden="1">G.4!$A$1:$F$10</definedName>
    <definedName name="Z_18579C8B_EEAF_4635_8890_9EF17E57257D_.wvu.PrintArea" localSheetId="14" hidden="1">H.1!$A$1:$F$36</definedName>
    <definedName name="Z_18579C8B_EEAF_4635_8890_9EF17E57257D_.wvu.PrintArea" localSheetId="15" hidden="1">H.2!$A$1:$J$61</definedName>
    <definedName name="Z_18579C8B_EEAF_4635_8890_9EF17E57257D_.wvu.PrintArea" localSheetId="16" hidden="1">H.3!$A$1:$F$35</definedName>
    <definedName name="Z_18579C8B_EEAF_4635_8890_9EF17E57257D_.wvu.PrintArea" localSheetId="17" hidden="1">I!$A$1:$G$12</definedName>
    <definedName name="Z_18579C8B_EEAF_4635_8890_9EF17E57257D_.wvu.PrintArea" localSheetId="18" hidden="1">J.1!$A$1:$H$39</definedName>
    <definedName name="Z_18579C8B_EEAF_4635_8890_9EF17E57257D_.wvu.PrintArea" localSheetId="19" hidden="1">J.2!$A$1:$F$49</definedName>
    <definedName name="Z_18579C8B_EEAF_4635_8890_9EF17E57257D_.wvu.PrintArea" localSheetId="20" hidden="1">J.3!$A$1:$F$19</definedName>
    <definedName name="Z_18579C8B_EEAF_4635_8890_9EF17E57257D_.wvu.PrintArea" localSheetId="21" hidden="1">K.1!$A$1:$G$25</definedName>
    <definedName name="Z_18579C8B_EEAF_4635_8890_9EF17E57257D_.wvu.PrintArea" localSheetId="22" hidden="1">K.2!$A$1:$G$50</definedName>
    <definedName name="Z_18579C8B_EEAF_4635_8890_9EF17E57257D_.wvu.PrintArea" localSheetId="23" hidden="1">L.1!$A$1:$G$17</definedName>
    <definedName name="Z_18579C8B_EEAF_4635_8890_9EF17E57257D_.wvu.PrintArea" localSheetId="24" hidden="1">L.2!$A$1:$F$46</definedName>
    <definedName name="Z_18579C8B_EEAF_4635_8890_9EF17E57257D_.wvu.PrintArea" localSheetId="25" hidden="1">L.3!$A$1:$C$106</definedName>
    <definedName name="Z_18579C8B_EEAF_4635_8890_9EF17E57257D_.wvu.PrintArea" localSheetId="26" hidden="1">L.4!$A$1:$F$32</definedName>
    <definedName name="Z_18579C8B_EEAF_4635_8890_9EF17E57257D_.wvu.PrintArea" localSheetId="27" hidden="1">L.5!$A$1:$G$20</definedName>
    <definedName name="Z_18579C8B_EEAF_4635_8890_9EF17E57257D_.wvu.PrintArea" localSheetId="28" hidden="1">L.6!$A$1:$F$100</definedName>
    <definedName name="Z_18579C8B_EEAF_4635_8890_9EF17E57257D_.wvu.PrintArea" localSheetId="29" hidden="1">M.1!$A$1:$F$14</definedName>
    <definedName name="Z_18579C8B_EEAF_4635_8890_9EF17E57257D_.wvu.PrintArea" localSheetId="30" hidden="1">M.2!$A$1:$F$18</definedName>
    <definedName name="Z_18579C8B_EEAF_4635_8890_9EF17E57257D_.wvu.PrintTitles" localSheetId="2" hidden="1">B!$2:$7</definedName>
    <definedName name="Z_18579C8B_EEAF_4635_8890_9EF17E57257D_.wvu.PrintTitles" localSheetId="32" hidden="1">'CS1_B '!$2:$8</definedName>
    <definedName name="Z_18579C8B_EEAF_4635_8890_9EF17E57257D_.wvu.PrintTitles" localSheetId="33" hidden="1">CS1_D!$A:$B,CS1_D!$5:$8</definedName>
    <definedName name="Z_18579C8B_EEAF_4635_8890_9EF17E57257D_.wvu.PrintTitles" localSheetId="40" hidden="1">CS2_B!$2:$8</definedName>
    <definedName name="Z_18579C8B_EEAF_4635_8890_9EF17E57257D_.wvu.PrintTitles" localSheetId="41" hidden="1">CS2_D!$A:$B,CS2_D!$5:$8</definedName>
    <definedName name="Z_18579C8B_EEAF_4635_8890_9EF17E57257D_.wvu.PrintTitles" localSheetId="5" hidden="1">E!$A:$A,E!$1:$7</definedName>
    <definedName name="Z_18579C8B_EEAF_4635_8890_9EF17E57257D_.wvu.PrintTitles" localSheetId="8" hidden="1">F.3!$A:$A,F.3!$1:$6</definedName>
    <definedName name="Z_18579C8B_EEAF_4635_8890_9EF17E57257D_.wvu.PrintTitles" localSheetId="9" hidden="1">F.4!$1:$6</definedName>
    <definedName name="Z_18579C8B_EEAF_4635_8890_9EF17E57257D_.wvu.PrintTitles" localSheetId="10" hidden="1">G.1!$1:$7</definedName>
    <definedName name="Z_18579C8B_EEAF_4635_8890_9EF17E57257D_.wvu.PrintTitles" localSheetId="15" hidden="1">H.2!$1:$13</definedName>
    <definedName name="Z_18579C8B_EEAF_4635_8890_9EF17E57257D_.wvu.PrintTitles" localSheetId="20" hidden="1">J.3!$1:$7</definedName>
    <definedName name="Z_18579C8B_EEAF_4635_8890_9EF17E57257D_.wvu.PrintTitles" localSheetId="22" hidden="1">K.2!$1:$7</definedName>
    <definedName name="Z_18579C8B_EEAF_4635_8890_9EF17E57257D_.wvu.PrintTitles" localSheetId="24" hidden="1">L.2!$1:$8</definedName>
    <definedName name="Z_18579C8B_EEAF_4635_8890_9EF17E57257D_.wvu.PrintTitles" localSheetId="25" hidden="1">L.3!$1:$8</definedName>
    <definedName name="Z_18579C8B_EEAF_4635_8890_9EF17E57257D_.wvu.PrintTitles" localSheetId="28" hidden="1">L.6!$1:$7</definedName>
    <definedName name="Z_18579C8B_EEAF_4635_8890_9EF17E57257D_.wvu.Rows" localSheetId="2" hidden="1">B!$1:$1,B!$16:$17</definedName>
    <definedName name="Z_18579C8B_EEAF_4635_8890_9EF17E57257D_.wvu.Rows" localSheetId="32" hidden="1">'CS1_B '!$1:$1</definedName>
    <definedName name="Z_18579C8B_EEAF_4635_8890_9EF17E57257D_.wvu.Rows" localSheetId="40" hidden="1">CS2_B!$1:$1</definedName>
    <definedName name="Z_18579C8B_EEAF_4635_8890_9EF17E57257D_.wvu.Rows" localSheetId="11" hidden="1">G.2!$1:$1</definedName>
    <definedName name="Z_18579C8B_EEAF_4635_8890_9EF17E57257D_.wvu.Rows" localSheetId="12" hidden="1">G.3!$1:$1</definedName>
    <definedName name="Z_18579C8B_EEAF_4635_8890_9EF17E57257D_.wvu.Rows" localSheetId="15" hidden="1">H.2!$5:$5,H.2!$8:$8,H.2!$10:$10</definedName>
    <definedName name="Z_18579C8B_EEAF_4635_8890_9EF17E57257D_.wvu.Rows" localSheetId="16" hidden="1">H.3!$36:$36</definedName>
    <definedName name="Z_18579C8B_EEAF_4635_8890_9EF17E57257D_.wvu.Rows" localSheetId="23" hidden="1">L.1!$18:$18</definedName>
    <definedName name="Z_18579C8B_EEAF_4635_8890_9EF17E57257D_.wvu.Rows" localSheetId="24" hidden="1">L.2!$9:$9</definedName>
    <definedName name="Z_18579C8B_EEAF_4635_8890_9EF17E57257D_.wvu.Rows" localSheetId="25" hidden="1">L.3!#REF!</definedName>
    <definedName name="Z_18579C8B_EEAF_4635_8890_9EF17E57257D_.wvu.Rows" localSheetId="30" hidden="1">M.2!#REF!</definedName>
    <definedName name="Z_84206F1F_5A04_435A_89D6_A094423691EF_.wvu.Cols" localSheetId="2" hidden="1">B!#REF!</definedName>
    <definedName name="Z_84206F1F_5A04_435A_89D6_A094423691EF_.wvu.Cols" localSheetId="5" hidden="1">E!#REF!</definedName>
    <definedName name="Z_84206F1F_5A04_435A_89D6_A094423691EF_.wvu.Cols" localSheetId="6" hidden="1">F.1!#REF!</definedName>
    <definedName name="Z_84206F1F_5A04_435A_89D6_A094423691EF_.wvu.Cols" localSheetId="8" hidden="1">F.3!#REF!,F.3!#REF!</definedName>
    <definedName name="Z_84206F1F_5A04_435A_89D6_A094423691EF_.wvu.Cols" localSheetId="10" hidden="1">G.1!#REF!,G.1!#REF!</definedName>
    <definedName name="Z_84206F1F_5A04_435A_89D6_A094423691EF_.wvu.Cols" localSheetId="19" hidden="1">J.2!#REF!</definedName>
    <definedName name="Z_84206F1F_5A04_435A_89D6_A094423691EF_.wvu.Cols" localSheetId="20" hidden="1">J.3!$G:$H</definedName>
    <definedName name="Z_84206F1F_5A04_435A_89D6_A094423691EF_.wvu.Cols" localSheetId="23" hidden="1">L.1!#REF!</definedName>
    <definedName name="Z_84206F1F_5A04_435A_89D6_A094423691EF_.wvu.Cols" localSheetId="24" hidden="1">L.2!$H:$AD</definedName>
    <definedName name="Z_84206F1F_5A04_435A_89D6_A094423691EF_.wvu.Cols" localSheetId="29" hidden="1">M.1!#REF!</definedName>
    <definedName name="Z_84206F1F_5A04_435A_89D6_A094423691EF_.wvu.FilterData" localSheetId="33" hidden="1">CS1_D!$B$8:$B$49</definedName>
    <definedName name="Z_84206F1F_5A04_435A_89D6_A094423691EF_.wvu.FilterData" localSheetId="41" hidden="1">CS2_D!$B$8:$B$49</definedName>
    <definedName name="Z_84206F1F_5A04_435A_89D6_A094423691EF_.wvu.FilterData" localSheetId="4" hidden="1">D!$A$7:$G$52</definedName>
    <definedName name="Z_84206F1F_5A04_435A_89D6_A094423691EF_.wvu.FilterData" localSheetId="7" hidden="1">F.2!$A$7:$C$9</definedName>
    <definedName name="Z_84206F1F_5A04_435A_89D6_A094423691EF_.wvu.FilterData" localSheetId="8" hidden="1">F.3!$A$59:$F$59</definedName>
    <definedName name="Z_84206F1F_5A04_435A_89D6_A094423691EF_.wvu.FilterData" localSheetId="9" hidden="1">F.4!$A$7:$F$9</definedName>
    <definedName name="Z_84206F1F_5A04_435A_89D6_A094423691EF_.wvu.FilterData" localSheetId="10" hidden="1">G.1!#REF!</definedName>
    <definedName name="Z_84206F1F_5A04_435A_89D6_A094423691EF_.wvu.PrintArea" localSheetId="1" hidden="1">A!$A$1:$F$10</definedName>
    <definedName name="Z_84206F1F_5A04_435A_89D6_A094423691EF_.wvu.PrintArea" localSheetId="2" hidden="1">B!$A$2:$B$40</definedName>
    <definedName name="Z_84206F1F_5A04_435A_89D6_A094423691EF_.wvu.PrintArea" localSheetId="32" hidden="1">'CS1_B '!$A$2:$C$33</definedName>
    <definedName name="Z_84206F1F_5A04_435A_89D6_A094423691EF_.wvu.PrintArea" localSheetId="33" hidden="1">CS1_D!$A$1:$C$55</definedName>
    <definedName name="Z_84206F1F_5A04_435A_89D6_A094423691EF_.wvu.PrintArea" localSheetId="34" hidden="1">CS1_F.1!$A$1:$B$34</definedName>
    <definedName name="Z_84206F1F_5A04_435A_89D6_A094423691EF_.wvu.PrintArea" localSheetId="36" hidden="1">CS1_H.1!$A$1:$C$11</definedName>
    <definedName name="Z_84206F1F_5A04_435A_89D6_A094423691EF_.wvu.PrintArea" localSheetId="37" hidden="1">CS1_H.2!$A$1:$F$21</definedName>
    <definedName name="Z_84206F1F_5A04_435A_89D6_A094423691EF_.wvu.PrintArea" localSheetId="38" hidden="1">CS1_H.3!$A$1:$F$11</definedName>
    <definedName name="Z_84206F1F_5A04_435A_89D6_A094423691EF_.wvu.PrintArea" localSheetId="40" hidden="1">CS2_B!$A$2:$C$33</definedName>
    <definedName name="Z_84206F1F_5A04_435A_89D6_A094423691EF_.wvu.PrintArea" localSheetId="41" hidden="1">CS2_D!$A$1:$C$55</definedName>
    <definedName name="Z_84206F1F_5A04_435A_89D6_A094423691EF_.wvu.PrintArea" localSheetId="42" hidden="1">CS2_F.1!$A$1:$B$34</definedName>
    <definedName name="Z_84206F1F_5A04_435A_89D6_A094423691EF_.wvu.PrintArea" localSheetId="44" hidden="1">CS2_H.1!$A$1:$C$11</definedName>
    <definedName name="Z_84206F1F_5A04_435A_89D6_A094423691EF_.wvu.PrintArea" localSheetId="45" hidden="1">CS2_H.2!$A$1:$F$19</definedName>
    <definedName name="Z_84206F1F_5A04_435A_89D6_A094423691EF_.wvu.PrintArea" localSheetId="46" hidden="1">CS2_H.3!$A$1:$F$12</definedName>
    <definedName name="Z_84206F1F_5A04_435A_89D6_A094423691EF_.wvu.PrintArea" localSheetId="4" hidden="1">D!$A$1:$G$55</definedName>
    <definedName name="Z_84206F1F_5A04_435A_89D6_A094423691EF_.wvu.PrintArea" localSheetId="5" hidden="1">E!$A$8:$U$62</definedName>
    <definedName name="Z_84206F1F_5A04_435A_89D6_A094423691EF_.wvu.PrintArea" localSheetId="6" hidden="1">F.1!$A$1:$F$34</definedName>
    <definedName name="Z_84206F1F_5A04_435A_89D6_A094423691EF_.wvu.PrintArea" localSheetId="7" hidden="1">F.2!$A$1:$C$25</definedName>
    <definedName name="Z_84206F1F_5A04_435A_89D6_A094423691EF_.wvu.PrintArea" localSheetId="8" hidden="1">F.3!$A$1:$G$88</definedName>
    <definedName name="Z_84206F1F_5A04_435A_89D6_A094423691EF_.wvu.PrintArea" localSheetId="9" hidden="1">F.4!$A$1:$F$14</definedName>
    <definedName name="Z_84206F1F_5A04_435A_89D6_A094423691EF_.wvu.PrintArea" localSheetId="10" hidden="1">G.1!$A$1:$K$700</definedName>
    <definedName name="Z_84206F1F_5A04_435A_89D6_A094423691EF_.wvu.PrintArea" localSheetId="11" hidden="1">G.2!$A$2:$F$31</definedName>
    <definedName name="Z_84206F1F_5A04_435A_89D6_A094423691EF_.wvu.PrintArea" localSheetId="12" hidden="1">G.3!$A$2:$E$30</definedName>
    <definedName name="Z_84206F1F_5A04_435A_89D6_A094423691EF_.wvu.PrintArea" localSheetId="13" hidden="1">G.4!$A$1:$F$10</definedName>
    <definedName name="Z_84206F1F_5A04_435A_89D6_A094423691EF_.wvu.PrintArea" localSheetId="14" hidden="1">H.1!$A$1:$F$36</definedName>
    <definedName name="Z_84206F1F_5A04_435A_89D6_A094423691EF_.wvu.PrintArea" localSheetId="15" hidden="1">H.2!$A$1:$J$61</definedName>
    <definedName name="Z_84206F1F_5A04_435A_89D6_A094423691EF_.wvu.PrintArea" localSheetId="16" hidden="1">H.3!$A$1:$F$35</definedName>
    <definedName name="Z_84206F1F_5A04_435A_89D6_A094423691EF_.wvu.PrintArea" localSheetId="17" hidden="1">I!$A$1:$G$12</definedName>
    <definedName name="Z_84206F1F_5A04_435A_89D6_A094423691EF_.wvu.PrintArea" localSheetId="18" hidden="1">J.1!$A$1:$H$39</definedName>
    <definedName name="Z_84206F1F_5A04_435A_89D6_A094423691EF_.wvu.PrintArea" localSheetId="19" hidden="1">J.2!$A$1:$F$49</definedName>
    <definedName name="Z_84206F1F_5A04_435A_89D6_A094423691EF_.wvu.PrintArea" localSheetId="20" hidden="1">J.3!$A$1:$F$19</definedName>
    <definedName name="Z_84206F1F_5A04_435A_89D6_A094423691EF_.wvu.PrintArea" localSheetId="21" hidden="1">K.1!$A$1:$G$25</definedName>
    <definedName name="Z_84206F1F_5A04_435A_89D6_A094423691EF_.wvu.PrintArea" localSheetId="22" hidden="1">K.2!$A$1:$G$50</definedName>
    <definedName name="Z_84206F1F_5A04_435A_89D6_A094423691EF_.wvu.PrintArea" localSheetId="23" hidden="1">L.1!$A$1:$G$17</definedName>
    <definedName name="Z_84206F1F_5A04_435A_89D6_A094423691EF_.wvu.PrintArea" localSheetId="24" hidden="1">L.2!$A$1:$F$46</definedName>
    <definedName name="Z_84206F1F_5A04_435A_89D6_A094423691EF_.wvu.PrintArea" localSheetId="25" hidden="1">L.3!$A$1:$C$106</definedName>
    <definedName name="Z_84206F1F_5A04_435A_89D6_A094423691EF_.wvu.PrintArea" localSheetId="26" hidden="1">L.4!$A$1:$F$32</definedName>
    <definedName name="Z_84206F1F_5A04_435A_89D6_A094423691EF_.wvu.PrintArea" localSheetId="27" hidden="1">L.5!$A$1:$G$20</definedName>
    <definedName name="Z_84206F1F_5A04_435A_89D6_A094423691EF_.wvu.PrintArea" localSheetId="28" hidden="1">L.6!$A$1:$F$100</definedName>
    <definedName name="Z_84206F1F_5A04_435A_89D6_A094423691EF_.wvu.PrintArea" localSheetId="29" hidden="1">M.1!$A$1:$F$14</definedName>
    <definedName name="Z_84206F1F_5A04_435A_89D6_A094423691EF_.wvu.PrintArea" localSheetId="30" hidden="1">M.2!$A$1:$F$18</definedName>
    <definedName name="Z_84206F1F_5A04_435A_89D6_A094423691EF_.wvu.PrintTitles" localSheetId="2" hidden="1">B!$2:$7</definedName>
    <definedName name="Z_84206F1F_5A04_435A_89D6_A094423691EF_.wvu.PrintTitles" localSheetId="32" hidden="1">'CS1_B '!$2:$8</definedName>
    <definedName name="Z_84206F1F_5A04_435A_89D6_A094423691EF_.wvu.PrintTitles" localSheetId="33" hidden="1">CS1_D!$A:$B,CS1_D!$5:$8</definedName>
    <definedName name="Z_84206F1F_5A04_435A_89D6_A094423691EF_.wvu.PrintTitles" localSheetId="40" hidden="1">CS2_B!$2:$8</definedName>
    <definedName name="Z_84206F1F_5A04_435A_89D6_A094423691EF_.wvu.PrintTitles" localSheetId="41" hidden="1">CS2_D!$A:$B,CS2_D!$5:$8</definedName>
    <definedName name="Z_84206F1F_5A04_435A_89D6_A094423691EF_.wvu.PrintTitles" localSheetId="5" hidden="1">E!$A:$A,E!$1:$7</definedName>
    <definedName name="Z_84206F1F_5A04_435A_89D6_A094423691EF_.wvu.PrintTitles" localSheetId="8" hidden="1">F.3!$A:$A,F.3!$1:$6</definedName>
    <definedName name="Z_84206F1F_5A04_435A_89D6_A094423691EF_.wvu.PrintTitles" localSheetId="9" hidden="1">F.4!$1:$6</definedName>
    <definedName name="Z_84206F1F_5A04_435A_89D6_A094423691EF_.wvu.PrintTitles" localSheetId="10" hidden="1">G.1!$1:$7</definedName>
    <definedName name="Z_84206F1F_5A04_435A_89D6_A094423691EF_.wvu.PrintTitles" localSheetId="15" hidden="1">H.2!$1:$13</definedName>
    <definedName name="Z_84206F1F_5A04_435A_89D6_A094423691EF_.wvu.PrintTitles" localSheetId="20" hidden="1">J.3!$1:$7</definedName>
    <definedName name="Z_84206F1F_5A04_435A_89D6_A094423691EF_.wvu.PrintTitles" localSheetId="22" hidden="1">K.2!$1:$7</definedName>
    <definedName name="Z_84206F1F_5A04_435A_89D6_A094423691EF_.wvu.PrintTitles" localSheetId="24" hidden="1">L.2!$1:$8</definedName>
    <definedName name="Z_84206F1F_5A04_435A_89D6_A094423691EF_.wvu.PrintTitles" localSheetId="25" hidden="1">L.3!$1:$8</definedName>
    <definedName name="Z_84206F1F_5A04_435A_89D6_A094423691EF_.wvu.PrintTitles" localSheetId="28" hidden="1">L.6!$1:$7</definedName>
    <definedName name="Z_84206F1F_5A04_435A_89D6_A094423691EF_.wvu.Rows" localSheetId="2" hidden="1">B!$1:$1,B!$16:$17</definedName>
    <definedName name="Z_84206F1F_5A04_435A_89D6_A094423691EF_.wvu.Rows" localSheetId="32" hidden="1">'CS1_B '!$1:$1</definedName>
    <definedName name="Z_84206F1F_5A04_435A_89D6_A094423691EF_.wvu.Rows" localSheetId="40" hidden="1">CS2_B!$1:$1</definedName>
    <definedName name="Z_84206F1F_5A04_435A_89D6_A094423691EF_.wvu.Rows" localSheetId="11" hidden="1">G.2!$1:$1</definedName>
    <definedName name="Z_84206F1F_5A04_435A_89D6_A094423691EF_.wvu.Rows" localSheetId="12" hidden="1">G.3!$1:$1</definedName>
    <definedName name="Z_84206F1F_5A04_435A_89D6_A094423691EF_.wvu.Rows" localSheetId="15" hidden="1">H.2!$5:$5,H.2!$8:$8,H.2!$10:$10</definedName>
    <definedName name="Z_84206F1F_5A04_435A_89D6_A094423691EF_.wvu.Rows" localSheetId="16" hidden="1">H.3!$36:$36</definedName>
    <definedName name="Z_84206F1F_5A04_435A_89D6_A094423691EF_.wvu.Rows" localSheetId="23" hidden="1">L.1!$18:$18</definedName>
    <definedName name="Z_84206F1F_5A04_435A_89D6_A094423691EF_.wvu.Rows" localSheetId="24" hidden="1">L.2!$9:$9</definedName>
    <definedName name="Z_84206F1F_5A04_435A_89D6_A094423691EF_.wvu.Rows" localSheetId="25" hidden="1">L.3!#REF!</definedName>
    <definedName name="Z_84206F1F_5A04_435A_89D6_A094423691EF_.wvu.Rows" localSheetId="30" hidden="1">M.2!#REF!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1" l="1"/>
  <c r="D13" i="31"/>
  <c r="D12" i="31"/>
  <c r="D11" i="31"/>
  <c r="D10" i="31"/>
  <c r="D9" i="31"/>
  <c r="E56" i="29" l="1"/>
  <c r="E55" i="29"/>
  <c r="F59" i="29" s="1"/>
  <c r="E54" i="29"/>
  <c r="F81" i="29"/>
  <c r="F14" i="24" l="1"/>
  <c r="U59" i="16" l="1"/>
  <c r="U54" i="16"/>
  <c r="U53" i="16"/>
  <c r="U52" i="16"/>
  <c r="U51" i="16"/>
  <c r="U50" i="16"/>
  <c r="U49" i="16"/>
  <c r="I23" i="16"/>
  <c r="I22" i="16"/>
  <c r="I21" i="16"/>
  <c r="I20" i="16"/>
  <c r="I19" i="16"/>
  <c r="K51" i="5" l="1"/>
  <c r="L51" i="5"/>
  <c r="B12" i="47" l="1"/>
  <c r="D10" i="47"/>
  <c r="D9" i="47"/>
  <c r="D12" i="47" s="1"/>
  <c r="B10" i="45" s="1"/>
  <c r="C22" i="42" s="1"/>
  <c r="A4" i="47"/>
  <c r="A2" i="47"/>
  <c r="A1" i="47"/>
  <c r="B16" i="46"/>
  <c r="C10" i="46"/>
  <c r="F9" i="46"/>
  <c r="F10" i="46" s="1"/>
  <c r="F11" i="46" s="1"/>
  <c r="F8" i="46"/>
  <c r="F7" i="46"/>
  <c r="A4" i="46"/>
  <c r="A2" i="46"/>
  <c r="A1" i="46"/>
  <c r="A4" i="45"/>
  <c r="A1" i="45"/>
  <c r="B21" i="44"/>
  <c r="C16" i="44"/>
  <c r="C14" i="44"/>
  <c r="C10" i="44"/>
  <c r="C21" i="44" s="1"/>
  <c r="A4" i="44"/>
  <c r="A1" i="44"/>
  <c r="A4" i="43"/>
  <c r="A48" i="42"/>
  <c r="A47" i="42"/>
  <c r="A46" i="42"/>
  <c r="A45" i="42"/>
  <c r="A44" i="42"/>
  <c r="A43" i="42"/>
  <c r="A42" i="42"/>
  <c r="A41" i="42"/>
  <c r="A40" i="42"/>
  <c r="A39" i="42"/>
  <c r="A38" i="42"/>
  <c r="A37" i="42"/>
  <c r="A36" i="42"/>
  <c r="A35" i="42"/>
  <c r="A34" i="42"/>
  <c r="A33" i="42"/>
  <c r="A32" i="42"/>
  <c r="A31" i="42"/>
  <c r="A30" i="42"/>
  <c r="A29" i="42"/>
  <c r="A28" i="42"/>
  <c r="C27" i="42"/>
  <c r="A27" i="42"/>
  <c r="A26" i="42"/>
  <c r="A25" i="42"/>
  <c r="A24" i="42"/>
  <c r="A23" i="42"/>
  <c r="A22" i="42"/>
  <c r="A21" i="42"/>
  <c r="A20" i="42"/>
  <c r="A19" i="42"/>
  <c r="A18" i="42"/>
  <c r="A17" i="42"/>
  <c r="A16" i="42"/>
  <c r="A14" i="42"/>
  <c r="A13" i="42"/>
  <c r="A12" i="42"/>
  <c r="A11" i="42"/>
  <c r="A10" i="42"/>
  <c r="A4" i="42"/>
  <c r="A2" i="42"/>
  <c r="A1" i="42"/>
  <c r="B17" i="41"/>
  <c r="D11" i="39"/>
  <c r="B10" i="37" s="1"/>
  <c r="B11" i="39"/>
  <c r="D9" i="39"/>
  <c r="A4" i="39"/>
  <c r="A1" i="39"/>
  <c r="B21" i="38"/>
  <c r="C10" i="38"/>
  <c r="A4" i="38"/>
  <c r="A1" i="38"/>
  <c r="A4" i="37"/>
  <c r="A1" i="37"/>
  <c r="C21" i="36"/>
  <c r="B21" i="36"/>
  <c r="A4" i="36"/>
  <c r="A1" i="36"/>
  <c r="A4" i="35"/>
  <c r="A48" i="34"/>
  <c r="A47" i="34"/>
  <c r="A46" i="34"/>
  <c r="A45" i="34"/>
  <c r="A44" i="34"/>
  <c r="A43" i="34"/>
  <c r="A42" i="34"/>
  <c r="A41" i="34"/>
  <c r="A40" i="34"/>
  <c r="A39" i="34"/>
  <c r="A38" i="34"/>
  <c r="A37" i="34"/>
  <c r="A36" i="34"/>
  <c r="A35" i="34"/>
  <c r="A34" i="34"/>
  <c r="A33" i="34"/>
  <c r="A32" i="34"/>
  <c r="A31" i="34"/>
  <c r="A30" i="34"/>
  <c r="A29" i="34"/>
  <c r="A28" i="34"/>
  <c r="A27" i="34"/>
  <c r="A26" i="34"/>
  <c r="A25" i="34"/>
  <c r="A24" i="34"/>
  <c r="A23" i="34"/>
  <c r="C22" i="34"/>
  <c r="A22" i="34"/>
  <c r="A21" i="34"/>
  <c r="A20" i="34"/>
  <c r="A19" i="34"/>
  <c r="A18" i="34"/>
  <c r="A17" i="34"/>
  <c r="A16" i="34"/>
  <c r="A14" i="34"/>
  <c r="A13" i="34"/>
  <c r="A12" i="34"/>
  <c r="A11" i="34"/>
  <c r="C10" i="34"/>
  <c r="A10" i="34"/>
  <c r="A4" i="34"/>
  <c r="A1" i="34"/>
  <c r="A5" i="33"/>
  <c r="A5" i="41" s="1"/>
  <c r="J14" i="31"/>
  <c r="L14" i="31"/>
  <c r="C14" i="31"/>
  <c r="I14" i="31" s="1"/>
  <c r="B14" i="31"/>
  <c r="H14" i="31" s="1"/>
  <c r="J13" i="31"/>
  <c r="L13" i="31"/>
  <c r="C13" i="31"/>
  <c r="I13" i="31" s="1"/>
  <c r="B13" i="31"/>
  <c r="H13" i="31" s="1"/>
  <c r="L12" i="31"/>
  <c r="J12" i="31"/>
  <c r="C12" i="31"/>
  <c r="I12" i="31" s="1"/>
  <c r="B12" i="31"/>
  <c r="H12" i="31" s="1"/>
  <c r="L11" i="31"/>
  <c r="J11" i="31"/>
  <c r="C11" i="31"/>
  <c r="I11" i="31" s="1"/>
  <c r="B11" i="31"/>
  <c r="H11" i="31" s="1"/>
  <c r="J10" i="31"/>
  <c r="L10" i="31"/>
  <c r="C10" i="31"/>
  <c r="I10" i="31" s="1"/>
  <c r="B10" i="31"/>
  <c r="H10" i="31" s="1"/>
  <c r="J9" i="31"/>
  <c r="L9" i="31"/>
  <c r="D16" i="31"/>
  <c r="C9" i="31"/>
  <c r="B9" i="31"/>
  <c r="H9" i="31" s="1"/>
  <c r="A1" i="31"/>
  <c r="E13" i="30"/>
  <c r="K11" i="30"/>
  <c r="J11" i="30"/>
  <c r="C13" i="30"/>
  <c r="B13" i="30"/>
  <c r="K10" i="30"/>
  <c r="I10" i="30"/>
  <c r="H10" i="30"/>
  <c r="F10" i="30"/>
  <c r="L10" i="30" s="1"/>
  <c r="D13" i="30"/>
  <c r="K9" i="30"/>
  <c r="J9" i="30"/>
  <c r="I9" i="30"/>
  <c r="H9" i="30"/>
  <c r="F9" i="30"/>
  <c r="L9" i="30" s="1"/>
  <c r="K8" i="30"/>
  <c r="J8" i="30"/>
  <c r="I8" i="30"/>
  <c r="H8" i="30"/>
  <c r="F5" i="30"/>
  <c r="F8" i="30" s="1"/>
  <c r="A1" i="30"/>
  <c r="E97" i="29"/>
  <c r="K97" i="29" s="1"/>
  <c r="D97" i="29"/>
  <c r="J97" i="29" s="1"/>
  <c r="C97" i="29"/>
  <c r="I97" i="29" s="1"/>
  <c r="B97" i="29"/>
  <c r="H97" i="29" s="1"/>
  <c r="L95" i="29"/>
  <c r="K95" i="29"/>
  <c r="J95" i="29"/>
  <c r="I95" i="29"/>
  <c r="H95" i="29"/>
  <c r="K94" i="29"/>
  <c r="J94" i="29"/>
  <c r="I94" i="29"/>
  <c r="H94" i="29"/>
  <c r="K93" i="29"/>
  <c r="J93" i="29"/>
  <c r="I93" i="29"/>
  <c r="H93" i="29"/>
  <c r="E89" i="29"/>
  <c r="K89" i="29" s="1"/>
  <c r="D89" i="29"/>
  <c r="J89" i="29" s="1"/>
  <c r="K87" i="29"/>
  <c r="J87" i="29"/>
  <c r="I87" i="29"/>
  <c r="H87" i="29"/>
  <c r="K86" i="29"/>
  <c r="I86" i="29"/>
  <c r="J86" i="29"/>
  <c r="C89" i="29"/>
  <c r="I89" i="29" s="1"/>
  <c r="H86" i="29"/>
  <c r="K85" i="29"/>
  <c r="J85" i="29"/>
  <c r="I85" i="29"/>
  <c r="H85" i="29"/>
  <c r="K84" i="29"/>
  <c r="J84" i="29"/>
  <c r="I84" i="29"/>
  <c r="H84" i="29"/>
  <c r="K83" i="29"/>
  <c r="J83" i="29"/>
  <c r="I83" i="29"/>
  <c r="H83" i="29"/>
  <c r="K82" i="29"/>
  <c r="J82" i="29"/>
  <c r="I82" i="29"/>
  <c r="H82" i="29"/>
  <c r="L81" i="29"/>
  <c r="K81" i="29"/>
  <c r="J81" i="29"/>
  <c r="I81" i="29"/>
  <c r="H81" i="29"/>
  <c r="K80" i="29"/>
  <c r="J80" i="29"/>
  <c r="I80" i="29"/>
  <c r="H80" i="29"/>
  <c r="K79" i="29"/>
  <c r="J79" i="29"/>
  <c r="I79" i="29"/>
  <c r="H79" i="29"/>
  <c r="J75" i="29"/>
  <c r="D75" i="29"/>
  <c r="C75" i="29"/>
  <c r="I75" i="29" s="1"/>
  <c r="B75" i="29"/>
  <c r="H75" i="29" s="1"/>
  <c r="D74" i="29"/>
  <c r="J74" i="29" s="1"/>
  <c r="C74" i="29"/>
  <c r="I74" i="29" s="1"/>
  <c r="B74" i="29"/>
  <c r="H74" i="29" s="1"/>
  <c r="K73" i="29"/>
  <c r="J73" i="29"/>
  <c r="I73" i="29"/>
  <c r="H73" i="29"/>
  <c r="D72" i="29"/>
  <c r="J72" i="29" s="1"/>
  <c r="C72" i="29"/>
  <c r="I72" i="29" s="1"/>
  <c r="B72" i="29"/>
  <c r="H72" i="29" s="1"/>
  <c r="D71" i="29"/>
  <c r="J71" i="29" s="1"/>
  <c r="C71" i="29"/>
  <c r="I71" i="29" s="1"/>
  <c r="B71" i="29"/>
  <c r="H71" i="29" s="1"/>
  <c r="D70" i="29"/>
  <c r="J70" i="29" s="1"/>
  <c r="C70" i="29"/>
  <c r="I70" i="29" s="1"/>
  <c r="B70" i="29"/>
  <c r="H70" i="29" s="1"/>
  <c r="L69" i="29"/>
  <c r="J69" i="29"/>
  <c r="D69" i="29"/>
  <c r="C69" i="29"/>
  <c r="I69" i="29" s="1"/>
  <c r="B69" i="29"/>
  <c r="H69" i="29" s="1"/>
  <c r="E68" i="29"/>
  <c r="D68" i="29"/>
  <c r="J68" i="29" s="1"/>
  <c r="C68" i="29"/>
  <c r="I68" i="29" s="1"/>
  <c r="B68" i="29"/>
  <c r="H68" i="29" s="1"/>
  <c r="J67" i="29"/>
  <c r="D67" i="29"/>
  <c r="C67" i="29"/>
  <c r="I67" i="29" s="1"/>
  <c r="B67" i="29"/>
  <c r="H67" i="29" s="1"/>
  <c r="D63" i="29"/>
  <c r="J63" i="29" s="1"/>
  <c r="C63" i="29"/>
  <c r="I63" i="29" s="1"/>
  <c r="B63" i="29"/>
  <c r="H63" i="29" s="1"/>
  <c r="J61" i="29"/>
  <c r="I61" i="29"/>
  <c r="H61" i="29"/>
  <c r="E61" i="29"/>
  <c r="F61" i="29" s="1"/>
  <c r="J60" i="29"/>
  <c r="I60" i="29"/>
  <c r="H60" i="29"/>
  <c r="E60" i="29"/>
  <c r="E74" i="29" s="1"/>
  <c r="K59" i="29"/>
  <c r="J59" i="29"/>
  <c r="I59" i="29"/>
  <c r="H59" i="29"/>
  <c r="J58" i="29"/>
  <c r="I58" i="29"/>
  <c r="H58" i="29"/>
  <c r="E58" i="29"/>
  <c r="J57" i="29"/>
  <c r="I57" i="29"/>
  <c r="H57" i="29"/>
  <c r="E57" i="29"/>
  <c r="F57" i="29" s="1"/>
  <c r="L57" i="29" s="1"/>
  <c r="K56" i="29"/>
  <c r="J56" i="29"/>
  <c r="I56" i="29"/>
  <c r="H56" i="29"/>
  <c r="F56" i="29"/>
  <c r="L56" i="29" s="1"/>
  <c r="E70" i="29"/>
  <c r="L55" i="29"/>
  <c r="J55" i="29"/>
  <c r="I55" i="29"/>
  <c r="H55" i="29"/>
  <c r="E69" i="29"/>
  <c r="K54" i="29"/>
  <c r="J54" i="29"/>
  <c r="I54" i="29"/>
  <c r="H54" i="29"/>
  <c r="F54" i="29"/>
  <c r="L54" i="29" s="1"/>
  <c r="J53" i="29"/>
  <c r="I53" i="29"/>
  <c r="H53" i="29"/>
  <c r="E53" i="29"/>
  <c r="E67" i="29" s="1"/>
  <c r="E49" i="29"/>
  <c r="K49" i="29" s="1"/>
  <c r="D49" i="29"/>
  <c r="C49" i="29"/>
  <c r="C99" i="29" s="1"/>
  <c r="K47" i="29"/>
  <c r="J47" i="29"/>
  <c r="I47" i="29"/>
  <c r="K46" i="29"/>
  <c r="J46" i="29"/>
  <c r="I46" i="29"/>
  <c r="H46" i="29"/>
  <c r="K45" i="29"/>
  <c r="J45" i="29"/>
  <c r="I45" i="29"/>
  <c r="H45" i="29"/>
  <c r="K44" i="29"/>
  <c r="J44" i="29"/>
  <c r="I44" i="29"/>
  <c r="H44" i="29"/>
  <c r="K43" i="29"/>
  <c r="J43" i="29"/>
  <c r="I43" i="29"/>
  <c r="H43" i="29"/>
  <c r="K42" i="29"/>
  <c r="J42" i="29"/>
  <c r="I42" i="29"/>
  <c r="H42" i="29"/>
  <c r="K41" i="29"/>
  <c r="J41" i="29"/>
  <c r="I41" i="29"/>
  <c r="H41" i="29"/>
  <c r="K40" i="29"/>
  <c r="J40" i="29"/>
  <c r="I40" i="29"/>
  <c r="H40" i="29"/>
  <c r="K39" i="29"/>
  <c r="J39" i="29"/>
  <c r="I39" i="29"/>
  <c r="H39" i="29"/>
  <c r="K38" i="29"/>
  <c r="J38" i="29"/>
  <c r="I38" i="29"/>
  <c r="H38" i="29"/>
  <c r="D34" i="29"/>
  <c r="J34" i="29" s="1"/>
  <c r="C34" i="29"/>
  <c r="I34" i="29" s="1"/>
  <c r="L33" i="29"/>
  <c r="K33" i="29"/>
  <c r="J33" i="29"/>
  <c r="I33" i="29"/>
  <c r="H33" i="29"/>
  <c r="D32" i="29"/>
  <c r="J32" i="29" s="1"/>
  <c r="C32" i="29"/>
  <c r="I32" i="29" s="1"/>
  <c r="B32" i="29"/>
  <c r="H32" i="29" s="1"/>
  <c r="D31" i="29"/>
  <c r="J31" i="29" s="1"/>
  <c r="C31" i="29"/>
  <c r="I31" i="29" s="1"/>
  <c r="B31" i="29"/>
  <c r="H31" i="29" s="1"/>
  <c r="D30" i="29"/>
  <c r="J30" i="29" s="1"/>
  <c r="C30" i="29"/>
  <c r="I30" i="29" s="1"/>
  <c r="B30" i="29"/>
  <c r="H30" i="29" s="1"/>
  <c r="D29" i="29"/>
  <c r="J29" i="29" s="1"/>
  <c r="C29" i="29"/>
  <c r="I29" i="29" s="1"/>
  <c r="B29" i="29"/>
  <c r="H29" i="29" s="1"/>
  <c r="D28" i="29"/>
  <c r="J28" i="29" s="1"/>
  <c r="C28" i="29"/>
  <c r="I28" i="29" s="1"/>
  <c r="B28" i="29"/>
  <c r="H28" i="29" s="1"/>
  <c r="D27" i="29"/>
  <c r="J27" i="29" s="1"/>
  <c r="C27" i="29"/>
  <c r="I27" i="29" s="1"/>
  <c r="B27" i="29"/>
  <c r="H27" i="29" s="1"/>
  <c r="D26" i="29"/>
  <c r="J26" i="29" s="1"/>
  <c r="C26" i="29"/>
  <c r="I26" i="29" s="1"/>
  <c r="B26" i="29"/>
  <c r="H26" i="29" s="1"/>
  <c r="D25" i="29"/>
  <c r="J25" i="29" s="1"/>
  <c r="B25" i="29"/>
  <c r="H25" i="29" s="1"/>
  <c r="B21" i="29"/>
  <c r="H21" i="29" s="1"/>
  <c r="J19" i="29"/>
  <c r="I19" i="29"/>
  <c r="H19" i="29"/>
  <c r="E19" i="29"/>
  <c r="F19" i="29" s="1"/>
  <c r="L19" i="29" s="1"/>
  <c r="J18" i="29"/>
  <c r="I18" i="29"/>
  <c r="H18" i="29"/>
  <c r="F18" i="29"/>
  <c r="F46" i="29" s="1"/>
  <c r="L46" i="29" s="1"/>
  <c r="E18" i="29"/>
  <c r="K18" i="29" s="1"/>
  <c r="J17" i="29"/>
  <c r="I17" i="29"/>
  <c r="H17" i="29"/>
  <c r="E17" i="29"/>
  <c r="K17" i="29" s="1"/>
  <c r="J16" i="29"/>
  <c r="I16" i="29"/>
  <c r="H16" i="29"/>
  <c r="E16" i="29"/>
  <c r="J15" i="29"/>
  <c r="I15" i="29"/>
  <c r="H15" i="29"/>
  <c r="E15" i="29"/>
  <c r="K15" i="29" s="1"/>
  <c r="J14" i="29"/>
  <c r="I14" i="29"/>
  <c r="H14" i="29"/>
  <c r="E14" i="29"/>
  <c r="J13" i="29"/>
  <c r="I13" i="29"/>
  <c r="H13" i="29"/>
  <c r="E13" i="29"/>
  <c r="E28" i="29" s="1"/>
  <c r="J12" i="29"/>
  <c r="I12" i="29"/>
  <c r="H12" i="29"/>
  <c r="E12" i="29"/>
  <c r="J11" i="29"/>
  <c r="I11" i="29"/>
  <c r="H11" i="29"/>
  <c r="E11" i="29"/>
  <c r="E26" i="29" s="1"/>
  <c r="J10" i="29"/>
  <c r="H10" i="29"/>
  <c r="E10" i="29"/>
  <c r="K10" i="29" s="1"/>
  <c r="D21" i="29"/>
  <c r="J21" i="29" s="1"/>
  <c r="F4" i="29"/>
  <c r="F94" i="29" s="1"/>
  <c r="L94" i="29" s="1"/>
  <c r="D19" i="28"/>
  <c r="C19" i="28"/>
  <c r="I19" i="28" s="1"/>
  <c r="K17" i="28"/>
  <c r="J17" i="28"/>
  <c r="I17" i="28"/>
  <c r="H17" i="28"/>
  <c r="K16" i="28"/>
  <c r="J16" i="28"/>
  <c r="I16" i="28"/>
  <c r="H16" i="28"/>
  <c r="K15" i="28"/>
  <c r="J15" i="28"/>
  <c r="I15" i="28"/>
  <c r="H15" i="28"/>
  <c r="K14" i="28"/>
  <c r="J14" i="28"/>
  <c r="I14" i="28"/>
  <c r="H14" i="28"/>
  <c r="K13" i="28"/>
  <c r="J13" i="28"/>
  <c r="I13" i="28"/>
  <c r="H13" i="28"/>
  <c r="K12" i="28"/>
  <c r="J12" i="28"/>
  <c r="I12" i="28"/>
  <c r="H12" i="28"/>
  <c r="J11" i="28"/>
  <c r="I11" i="28"/>
  <c r="H11" i="28"/>
  <c r="E19" i="28"/>
  <c r="K19" i="28" s="1"/>
  <c r="K9" i="28"/>
  <c r="J9" i="28"/>
  <c r="I9" i="28"/>
  <c r="H9" i="28"/>
  <c r="F5" i="28"/>
  <c r="S3" i="28"/>
  <c r="L3" i="28"/>
  <c r="A1" i="28"/>
  <c r="L26" i="27"/>
  <c r="K26" i="27"/>
  <c r="D26" i="27"/>
  <c r="C26" i="27"/>
  <c r="I26" i="27" s="1"/>
  <c r="B26" i="27"/>
  <c r="H26" i="27" s="1"/>
  <c r="K23" i="27"/>
  <c r="J23" i="27"/>
  <c r="I23" i="27"/>
  <c r="H23" i="27"/>
  <c r="F23" i="27"/>
  <c r="L23" i="27" s="1"/>
  <c r="D20" i="27"/>
  <c r="C20" i="27"/>
  <c r="I20" i="27" s="1"/>
  <c r="B20" i="27"/>
  <c r="B21" i="27" s="1"/>
  <c r="K15" i="27"/>
  <c r="J15" i="27"/>
  <c r="I15" i="27"/>
  <c r="H15" i="27"/>
  <c r="F15" i="27"/>
  <c r="L12" i="27"/>
  <c r="K12" i="27"/>
  <c r="I12" i="27"/>
  <c r="H12" i="27"/>
  <c r="D12" i="27"/>
  <c r="J12" i="27" s="1"/>
  <c r="J103" i="26"/>
  <c r="I103" i="26"/>
  <c r="H103" i="26"/>
  <c r="E103" i="26"/>
  <c r="K103" i="26" s="1"/>
  <c r="I102" i="26"/>
  <c r="H102" i="26"/>
  <c r="J100" i="26"/>
  <c r="I100" i="26"/>
  <c r="H100" i="26"/>
  <c r="K99" i="26"/>
  <c r="J96" i="26"/>
  <c r="I96" i="26"/>
  <c r="H96" i="26"/>
  <c r="K95" i="26"/>
  <c r="D95" i="26"/>
  <c r="J95" i="26" s="1"/>
  <c r="C95" i="26"/>
  <c r="I95" i="26" s="1"/>
  <c r="B95" i="26"/>
  <c r="H95" i="26" s="1"/>
  <c r="J94" i="26"/>
  <c r="I94" i="26"/>
  <c r="H94" i="26"/>
  <c r="E94" i="26"/>
  <c r="E96" i="26" s="1"/>
  <c r="K96" i="26" s="1"/>
  <c r="J92" i="26"/>
  <c r="I92" i="26"/>
  <c r="H92" i="26"/>
  <c r="K91" i="26"/>
  <c r="D91" i="26"/>
  <c r="C91" i="26"/>
  <c r="I91" i="26" s="1"/>
  <c r="B91" i="26"/>
  <c r="H91" i="26" s="1"/>
  <c r="J90" i="26"/>
  <c r="I90" i="26"/>
  <c r="H90" i="26"/>
  <c r="E90" i="26"/>
  <c r="J88" i="26"/>
  <c r="I88" i="26"/>
  <c r="H88" i="26"/>
  <c r="K87" i="26"/>
  <c r="J87" i="26"/>
  <c r="C87" i="26"/>
  <c r="B87" i="26"/>
  <c r="H87" i="26" s="1"/>
  <c r="I86" i="26"/>
  <c r="H86" i="26"/>
  <c r="D86" i="26"/>
  <c r="I82" i="26"/>
  <c r="H82" i="26"/>
  <c r="J80" i="26"/>
  <c r="I80" i="26"/>
  <c r="H80" i="26"/>
  <c r="K79" i="26"/>
  <c r="D79" i="26"/>
  <c r="J79" i="26" s="1"/>
  <c r="C79" i="26"/>
  <c r="I79" i="26" s="1"/>
  <c r="B79" i="26"/>
  <c r="H79" i="26" s="1"/>
  <c r="L78" i="26"/>
  <c r="J78" i="26"/>
  <c r="I78" i="26"/>
  <c r="H78" i="26"/>
  <c r="E78" i="26"/>
  <c r="K78" i="26" s="1"/>
  <c r="J76" i="26"/>
  <c r="I76" i="26"/>
  <c r="H76" i="26"/>
  <c r="K75" i="26"/>
  <c r="D75" i="26"/>
  <c r="C75" i="26"/>
  <c r="I75" i="26" s="1"/>
  <c r="B75" i="26"/>
  <c r="H75" i="26" s="1"/>
  <c r="J74" i="26"/>
  <c r="I74" i="26"/>
  <c r="H74" i="26"/>
  <c r="E74" i="26"/>
  <c r="E71" i="26"/>
  <c r="E83" i="26" s="1"/>
  <c r="K83" i="26" s="1"/>
  <c r="D71" i="26"/>
  <c r="C71" i="26"/>
  <c r="B71" i="26"/>
  <c r="D67" i="26"/>
  <c r="J67" i="26" s="1"/>
  <c r="C67" i="26"/>
  <c r="B67" i="26"/>
  <c r="H67" i="26" s="1"/>
  <c r="J66" i="26"/>
  <c r="I66" i="26"/>
  <c r="H66" i="26"/>
  <c r="E66" i="26"/>
  <c r="J65" i="26"/>
  <c r="I65" i="26"/>
  <c r="H65" i="26"/>
  <c r="D63" i="26"/>
  <c r="J63" i="26" s="1"/>
  <c r="C63" i="26"/>
  <c r="I62" i="26" s="1"/>
  <c r="B63" i="26"/>
  <c r="H63" i="26" s="1"/>
  <c r="J59" i="26"/>
  <c r="I59" i="26"/>
  <c r="H59" i="26"/>
  <c r="K56" i="26"/>
  <c r="J56" i="26"/>
  <c r="I56" i="26"/>
  <c r="H56" i="26"/>
  <c r="F56" i="26"/>
  <c r="L56" i="26" s="1"/>
  <c r="D53" i="26"/>
  <c r="J53" i="26" s="1"/>
  <c r="J51" i="26"/>
  <c r="E51" i="26"/>
  <c r="D48" i="26"/>
  <c r="L47" i="26"/>
  <c r="K47" i="26"/>
  <c r="J47" i="26"/>
  <c r="J40" i="26"/>
  <c r="E40" i="26"/>
  <c r="C40" i="26"/>
  <c r="I40" i="26" s="1"/>
  <c r="B40" i="26"/>
  <c r="H40" i="26" s="1"/>
  <c r="K39" i="26"/>
  <c r="F39" i="26"/>
  <c r="L39" i="26" s="1"/>
  <c r="D38" i="26"/>
  <c r="J38" i="26" s="1"/>
  <c r="C38" i="26"/>
  <c r="B38" i="26"/>
  <c r="H38" i="26" s="1"/>
  <c r="F37" i="26"/>
  <c r="L37" i="26" s="1"/>
  <c r="E37" i="26"/>
  <c r="K37" i="26" s="1"/>
  <c r="D37" i="26"/>
  <c r="J37" i="26" s="1"/>
  <c r="C37" i="26"/>
  <c r="I37" i="26" s="1"/>
  <c r="K36" i="26"/>
  <c r="J36" i="26"/>
  <c r="I36" i="26"/>
  <c r="H36" i="26"/>
  <c r="F36" i="26"/>
  <c r="L36" i="26" s="1"/>
  <c r="K32" i="26"/>
  <c r="J32" i="26"/>
  <c r="I32" i="26"/>
  <c r="H32" i="26"/>
  <c r="F32" i="26"/>
  <c r="D29" i="26"/>
  <c r="J27" i="26"/>
  <c r="E27" i="26"/>
  <c r="F27" i="26" s="1"/>
  <c r="L27" i="26" s="1"/>
  <c r="D25" i="26"/>
  <c r="D49" i="26" s="1"/>
  <c r="L24" i="26"/>
  <c r="K24" i="26"/>
  <c r="D24" i="26"/>
  <c r="J23" i="26"/>
  <c r="E23" i="26"/>
  <c r="F23" i="26" s="1"/>
  <c r="L23" i="26" s="1"/>
  <c r="K18" i="26"/>
  <c r="F18" i="26"/>
  <c r="L18" i="26" s="1"/>
  <c r="J17" i="26"/>
  <c r="I17" i="26"/>
  <c r="H17" i="26"/>
  <c r="E17" i="26"/>
  <c r="K17" i="26" s="1"/>
  <c r="K16" i="26"/>
  <c r="F16" i="26"/>
  <c r="J15" i="26"/>
  <c r="I15" i="26"/>
  <c r="H15" i="26"/>
  <c r="E15" i="26"/>
  <c r="K15" i="26" s="1"/>
  <c r="K14" i="26"/>
  <c r="F14" i="26"/>
  <c r="L14" i="26" s="1"/>
  <c r="D14" i="26"/>
  <c r="D16" i="26" s="1"/>
  <c r="K13" i="26"/>
  <c r="J13" i="26"/>
  <c r="I13" i="26"/>
  <c r="F13" i="26"/>
  <c r="L13" i="26" s="1"/>
  <c r="J10" i="26"/>
  <c r="J9" i="26"/>
  <c r="I9" i="26"/>
  <c r="H9" i="26"/>
  <c r="I45" i="25"/>
  <c r="E45" i="25"/>
  <c r="K45" i="25" s="1"/>
  <c r="D45" i="25"/>
  <c r="J45" i="25" s="1"/>
  <c r="C45" i="25"/>
  <c r="B45" i="25"/>
  <c r="AB43" i="25"/>
  <c r="K43" i="25"/>
  <c r="J43" i="25"/>
  <c r="I43" i="25"/>
  <c r="H43" i="25"/>
  <c r="AB42" i="25"/>
  <c r="K42" i="25"/>
  <c r="J42" i="25"/>
  <c r="I42" i="25"/>
  <c r="H42" i="25"/>
  <c r="AB41" i="25"/>
  <c r="K41" i="25"/>
  <c r="J41" i="25"/>
  <c r="I41" i="25"/>
  <c r="H41" i="25"/>
  <c r="AB40" i="25"/>
  <c r="K40" i="25"/>
  <c r="J40" i="25"/>
  <c r="I40" i="25"/>
  <c r="H40" i="25"/>
  <c r="AB39" i="25"/>
  <c r="K39" i="25"/>
  <c r="J39" i="25"/>
  <c r="I39" i="25"/>
  <c r="H39" i="25"/>
  <c r="AB38" i="25"/>
  <c r="K38" i="25"/>
  <c r="J38" i="25"/>
  <c r="I38" i="25"/>
  <c r="H38" i="25"/>
  <c r="AB37" i="25"/>
  <c r="K37" i="25"/>
  <c r="J37" i="25"/>
  <c r="I37" i="25"/>
  <c r="H37" i="25"/>
  <c r="AB36" i="25"/>
  <c r="K36" i="25"/>
  <c r="J36" i="25"/>
  <c r="I36" i="25"/>
  <c r="H36" i="25"/>
  <c r="E33" i="25"/>
  <c r="K33" i="25" s="1"/>
  <c r="D33" i="25"/>
  <c r="J33" i="25" s="1"/>
  <c r="C33" i="25"/>
  <c r="I33" i="25" s="1"/>
  <c r="B33" i="25"/>
  <c r="H33" i="25" s="1"/>
  <c r="AB31" i="25"/>
  <c r="K31" i="25"/>
  <c r="J31" i="25"/>
  <c r="I31" i="25"/>
  <c r="H31" i="25"/>
  <c r="AB30" i="25"/>
  <c r="K30" i="25"/>
  <c r="J30" i="25"/>
  <c r="I30" i="25"/>
  <c r="H30" i="25"/>
  <c r="B27" i="25"/>
  <c r="H27" i="25" s="1"/>
  <c r="H25" i="25"/>
  <c r="K25" i="25"/>
  <c r="J25" i="25"/>
  <c r="I25" i="25"/>
  <c r="H24" i="25"/>
  <c r="D27" i="25"/>
  <c r="J27" i="25" s="1"/>
  <c r="C27" i="25"/>
  <c r="D21" i="25"/>
  <c r="J21" i="25" s="1"/>
  <c r="C21" i="25"/>
  <c r="I21" i="25" s="1"/>
  <c r="B21" i="25"/>
  <c r="H21" i="25" s="1"/>
  <c r="L19" i="25"/>
  <c r="K19" i="25"/>
  <c r="J19" i="25"/>
  <c r="I19" i="25"/>
  <c r="H19" i="25"/>
  <c r="J18" i="25"/>
  <c r="I18" i="25"/>
  <c r="H18" i="25"/>
  <c r="E18" i="25"/>
  <c r="K18" i="25" s="1"/>
  <c r="J17" i="25"/>
  <c r="I17" i="25"/>
  <c r="H17" i="25"/>
  <c r="E17" i="25"/>
  <c r="AB17" i="25" s="1"/>
  <c r="AB16" i="25"/>
  <c r="K16" i="25"/>
  <c r="J16" i="25"/>
  <c r="I16" i="25"/>
  <c r="H16" i="25"/>
  <c r="AB15" i="25"/>
  <c r="K15" i="25"/>
  <c r="J15" i="25"/>
  <c r="I15" i="25"/>
  <c r="H15" i="25"/>
  <c r="AB14" i="25"/>
  <c r="K14" i="25"/>
  <c r="J14" i="25"/>
  <c r="I14" i="25"/>
  <c r="H14" i="25"/>
  <c r="AB13" i="25"/>
  <c r="K13" i="25"/>
  <c r="J13" i="25"/>
  <c r="I13" i="25"/>
  <c r="H13" i="25"/>
  <c r="AB12" i="25"/>
  <c r="K12" i="25"/>
  <c r="J12" i="25"/>
  <c r="I12" i="25"/>
  <c r="H12" i="25"/>
  <c r="AB11" i="25"/>
  <c r="K11" i="25"/>
  <c r="J11" i="25"/>
  <c r="I11" i="25"/>
  <c r="H11" i="25"/>
  <c r="F6" i="25"/>
  <c r="F36" i="25" s="1"/>
  <c r="S4" i="25"/>
  <c r="L4" i="25"/>
  <c r="A1" i="25"/>
  <c r="C16" i="24"/>
  <c r="B16" i="24"/>
  <c r="I14" i="24"/>
  <c r="H14" i="24"/>
  <c r="J13" i="24"/>
  <c r="I13" i="24"/>
  <c r="H13" i="24"/>
  <c r="I11" i="24"/>
  <c r="H11" i="24"/>
  <c r="J11" i="24"/>
  <c r="J10" i="24"/>
  <c r="I10" i="24"/>
  <c r="H10" i="24"/>
  <c r="D9" i="24"/>
  <c r="J9" i="24" s="1"/>
  <c r="C9" i="24"/>
  <c r="I9" i="24" s="1"/>
  <c r="B9" i="24"/>
  <c r="H9" i="24" s="1"/>
  <c r="F6" i="24"/>
  <c r="S4" i="24"/>
  <c r="L4" i="24"/>
  <c r="A1" i="24"/>
  <c r="L47" i="23"/>
  <c r="K47" i="23"/>
  <c r="D47" i="23"/>
  <c r="J47" i="23" s="1"/>
  <c r="C47" i="23"/>
  <c r="I47" i="23" s="1"/>
  <c r="B47" i="23"/>
  <c r="H47" i="23" s="1"/>
  <c r="E46" i="23"/>
  <c r="K46" i="23" s="1"/>
  <c r="D46" i="23"/>
  <c r="J46" i="23" s="1"/>
  <c r="C46" i="23"/>
  <c r="I46" i="23" s="1"/>
  <c r="B46" i="23"/>
  <c r="H46" i="23" s="1"/>
  <c r="E45" i="23"/>
  <c r="K45" i="23" s="1"/>
  <c r="D45" i="23"/>
  <c r="J45" i="23" s="1"/>
  <c r="C45" i="23"/>
  <c r="I45" i="23" s="1"/>
  <c r="B45" i="23"/>
  <c r="H45" i="23" s="1"/>
  <c r="L44" i="23"/>
  <c r="E44" i="23"/>
  <c r="K44" i="23" s="1"/>
  <c r="D44" i="23"/>
  <c r="J44" i="23" s="1"/>
  <c r="C44" i="23"/>
  <c r="I44" i="23" s="1"/>
  <c r="B44" i="23"/>
  <c r="H44" i="23" s="1"/>
  <c r="E43" i="23"/>
  <c r="K43" i="23" s="1"/>
  <c r="D43" i="23"/>
  <c r="J43" i="23" s="1"/>
  <c r="C43" i="23"/>
  <c r="I43" i="23" s="1"/>
  <c r="B43" i="23"/>
  <c r="H43" i="23" s="1"/>
  <c r="E42" i="23"/>
  <c r="K42" i="23" s="1"/>
  <c r="D42" i="23"/>
  <c r="J42" i="23" s="1"/>
  <c r="C42" i="23"/>
  <c r="I42" i="23" s="1"/>
  <c r="B42" i="23"/>
  <c r="H42" i="23" s="1"/>
  <c r="E41" i="23"/>
  <c r="K41" i="23" s="1"/>
  <c r="D41" i="23"/>
  <c r="J41" i="23" s="1"/>
  <c r="C41" i="23"/>
  <c r="I41" i="23" s="1"/>
  <c r="B41" i="23"/>
  <c r="H41" i="23" s="1"/>
  <c r="E40" i="23"/>
  <c r="K40" i="23" s="1"/>
  <c r="D40" i="23"/>
  <c r="J40" i="23" s="1"/>
  <c r="C40" i="23"/>
  <c r="I40" i="23" s="1"/>
  <c r="B40" i="23"/>
  <c r="H40" i="23" s="1"/>
  <c r="E39" i="23"/>
  <c r="K39" i="23" s="1"/>
  <c r="D39" i="23"/>
  <c r="J39" i="23" s="1"/>
  <c r="C39" i="23"/>
  <c r="I39" i="23" s="1"/>
  <c r="B39" i="23"/>
  <c r="H39" i="23" s="1"/>
  <c r="E38" i="23"/>
  <c r="K38" i="23" s="1"/>
  <c r="D38" i="23"/>
  <c r="J38" i="23" s="1"/>
  <c r="C38" i="23"/>
  <c r="I38" i="23" s="1"/>
  <c r="B38" i="23"/>
  <c r="H38" i="23" s="1"/>
  <c r="E37" i="23"/>
  <c r="K37" i="23" s="1"/>
  <c r="D37" i="23"/>
  <c r="J37" i="23" s="1"/>
  <c r="C37" i="23"/>
  <c r="I37" i="23" s="1"/>
  <c r="B37" i="23"/>
  <c r="H37" i="23" s="1"/>
  <c r="E36" i="23"/>
  <c r="K36" i="23" s="1"/>
  <c r="D36" i="23"/>
  <c r="C36" i="23"/>
  <c r="I36" i="23" s="1"/>
  <c r="B36" i="23"/>
  <c r="N33" i="23"/>
  <c r="N46" i="23" s="1"/>
  <c r="L33" i="23"/>
  <c r="K33" i="23"/>
  <c r="J33" i="23"/>
  <c r="I33" i="23"/>
  <c r="H33" i="23"/>
  <c r="A33" i="23"/>
  <c r="A46" i="23" s="1"/>
  <c r="K32" i="23"/>
  <c r="J32" i="23"/>
  <c r="I32" i="23"/>
  <c r="H32" i="23"/>
  <c r="L32" i="23"/>
  <c r="L31" i="23"/>
  <c r="K31" i="23"/>
  <c r="J31" i="23"/>
  <c r="I31" i="23"/>
  <c r="H31" i="23"/>
  <c r="K30" i="23"/>
  <c r="J30" i="23"/>
  <c r="I30" i="23"/>
  <c r="H30" i="23"/>
  <c r="L30" i="23"/>
  <c r="K29" i="23"/>
  <c r="J29" i="23"/>
  <c r="I29" i="23"/>
  <c r="H29" i="23"/>
  <c r="L29" i="23"/>
  <c r="K28" i="23"/>
  <c r="J28" i="23"/>
  <c r="I28" i="23"/>
  <c r="H28" i="23"/>
  <c r="L28" i="23"/>
  <c r="N27" i="23"/>
  <c r="N40" i="23" s="1"/>
  <c r="K27" i="23"/>
  <c r="J27" i="23"/>
  <c r="I27" i="23"/>
  <c r="H27" i="23"/>
  <c r="L27" i="23"/>
  <c r="A27" i="23"/>
  <c r="A40" i="23" s="1"/>
  <c r="K26" i="23"/>
  <c r="J26" i="23"/>
  <c r="I26" i="23"/>
  <c r="H26" i="23"/>
  <c r="L26" i="23"/>
  <c r="K25" i="23"/>
  <c r="J25" i="23"/>
  <c r="I25" i="23"/>
  <c r="H25" i="23"/>
  <c r="L25" i="23"/>
  <c r="K24" i="23"/>
  <c r="J24" i="23"/>
  <c r="I24" i="23"/>
  <c r="H24" i="23"/>
  <c r="L24" i="23"/>
  <c r="K23" i="23"/>
  <c r="J23" i="23"/>
  <c r="I23" i="23"/>
  <c r="H23" i="23"/>
  <c r="L23" i="23"/>
  <c r="E21" i="23"/>
  <c r="K21" i="23" s="1"/>
  <c r="D21" i="23"/>
  <c r="J21" i="23" s="1"/>
  <c r="C21" i="23"/>
  <c r="I21" i="23" s="1"/>
  <c r="B21" i="23"/>
  <c r="H21" i="23" s="1"/>
  <c r="K19" i="23"/>
  <c r="J19" i="23"/>
  <c r="I19" i="23"/>
  <c r="H19" i="23"/>
  <c r="F19" i="23"/>
  <c r="L19" i="23" s="1"/>
  <c r="K18" i="23"/>
  <c r="J18" i="23"/>
  <c r="I18" i="23"/>
  <c r="H18" i="23"/>
  <c r="F18" i="23"/>
  <c r="K17" i="23"/>
  <c r="J17" i="23"/>
  <c r="I17" i="23"/>
  <c r="H17" i="23"/>
  <c r="F17" i="23"/>
  <c r="L17" i="23" s="1"/>
  <c r="K16" i="23"/>
  <c r="J16" i="23"/>
  <c r="I16" i="23"/>
  <c r="H16" i="23"/>
  <c r="F16" i="23"/>
  <c r="F43" i="23" s="1"/>
  <c r="L43" i="23" s="1"/>
  <c r="K15" i="23"/>
  <c r="J15" i="23"/>
  <c r="I15" i="23"/>
  <c r="H15" i="23"/>
  <c r="F15" i="23"/>
  <c r="L15" i="23" s="1"/>
  <c r="K14" i="23"/>
  <c r="J14" i="23"/>
  <c r="I14" i="23"/>
  <c r="H14" i="23"/>
  <c r="F14" i="23"/>
  <c r="F41" i="23" s="1"/>
  <c r="L41" i="23" s="1"/>
  <c r="K13" i="23"/>
  <c r="J13" i="23"/>
  <c r="I13" i="23"/>
  <c r="H13" i="23"/>
  <c r="F13" i="23"/>
  <c r="F40" i="23" s="1"/>
  <c r="L40" i="23" s="1"/>
  <c r="K12" i="23"/>
  <c r="J12" i="23"/>
  <c r="I12" i="23"/>
  <c r="H12" i="23"/>
  <c r="F12" i="23"/>
  <c r="F39" i="23" s="1"/>
  <c r="L39" i="23" s="1"/>
  <c r="K11" i="23"/>
  <c r="J11" i="23"/>
  <c r="I11" i="23"/>
  <c r="H11" i="23"/>
  <c r="F11" i="23"/>
  <c r="F38" i="23" s="1"/>
  <c r="L38" i="23" s="1"/>
  <c r="K10" i="23"/>
  <c r="J10" i="23"/>
  <c r="I10" i="23"/>
  <c r="H10" i="23"/>
  <c r="F10" i="23"/>
  <c r="K9" i="23"/>
  <c r="J9" i="23"/>
  <c r="I9" i="23"/>
  <c r="H9" i="23"/>
  <c r="F9" i="23"/>
  <c r="L9" i="23" s="1"/>
  <c r="A1" i="23"/>
  <c r="L22" i="22"/>
  <c r="K22" i="22"/>
  <c r="J22" i="22"/>
  <c r="I22" i="22"/>
  <c r="H22" i="22"/>
  <c r="K21" i="22"/>
  <c r="H21" i="22"/>
  <c r="F21" i="22"/>
  <c r="L21" i="22" s="1"/>
  <c r="D21" i="22"/>
  <c r="J21" i="22" s="1"/>
  <c r="C21" i="22"/>
  <c r="I21" i="22" s="1"/>
  <c r="D20" i="22"/>
  <c r="J20" i="22" s="1"/>
  <c r="C20" i="22"/>
  <c r="I20" i="22" s="1"/>
  <c r="B20" i="22"/>
  <c r="H20" i="22" s="1"/>
  <c r="D19" i="22"/>
  <c r="C19" i="22"/>
  <c r="I19" i="22" s="1"/>
  <c r="B19" i="22"/>
  <c r="L17" i="22"/>
  <c r="K17" i="22"/>
  <c r="J17" i="22"/>
  <c r="I17" i="22"/>
  <c r="H17" i="22"/>
  <c r="L16" i="22"/>
  <c r="K16" i="22"/>
  <c r="J16" i="22"/>
  <c r="I16" i="22"/>
  <c r="H16" i="22"/>
  <c r="K15" i="22"/>
  <c r="J15" i="22"/>
  <c r="I15" i="22"/>
  <c r="H15" i="22"/>
  <c r="F15" i="22"/>
  <c r="L15" i="22" s="1"/>
  <c r="D12" i="22"/>
  <c r="J12" i="22" s="1"/>
  <c r="C12" i="22"/>
  <c r="I12" i="22" s="1"/>
  <c r="B12" i="22"/>
  <c r="H12" i="22" s="1"/>
  <c r="L11" i="22"/>
  <c r="K11" i="22"/>
  <c r="J11" i="22"/>
  <c r="I11" i="22"/>
  <c r="H11" i="22"/>
  <c r="L10" i="22"/>
  <c r="K10" i="22"/>
  <c r="J10" i="22"/>
  <c r="I10" i="22"/>
  <c r="H10" i="22"/>
  <c r="J9" i="22"/>
  <c r="I9" i="22"/>
  <c r="H9" i="22"/>
  <c r="F9" i="22"/>
  <c r="F20" i="22" s="1"/>
  <c r="L20" i="22" s="1"/>
  <c r="E9" i="22"/>
  <c r="J8" i="22"/>
  <c r="I8" i="22"/>
  <c r="H8" i="22"/>
  <c r="F8" i="22"/>
  <c r="F19" i="22" s="1"/>
  <c r="E8" i="22"/>
  <c r="E19" i="22" s="1"/>
  <c r="K19" i="22" s="1"/>
  <c r="A1" i="22"/>
  <c r="K16" i="21"/>
  <c r="C18" i="21"/>
  <c r="I16" i="21"/>
  <c r="J16" i="21"/>
  <c r="J15" i="21"/>
  <c r="I15" i="21"/>
  <c r="H15" i="21"/>
  <c r="E15" i="21"/>
  <c r="K15" i="21" s="1"/>
  <c r="K14" i="21"/>
  <c r="J14" i="21"/>
  <c r="I14" i="21"/>
  <c r="H14" i="21"/>
  <c r="K13" i="21"/>
  <c r="J13" i="21"/>
  <c r="I13" i="21"/>
  <c r="H13" i="21"/>
  <c r="K12" i="21"/>
  <c r="J12" i="21"/>
  <c r="I12" i="21"/>
  <c r="H12" i="21"/>
  <c r="K11" i="21"/>
  <c r="J11" i="21"/>
  <c r="I11" i="21"/>
  <c r="H11" i="21"/>
  <c r="K10" i="21"/>
  <c r="J10" i="21"/>
  <c r="I10" i="21"/>
  <c r="H10" i="21"/>
  <c r="K9" i="21"/>
  <c r="J9" i="21"/>
  <c r="I9" i="21"/>
  <c r="H9" i="21"/>
  <c r="F5" i="21"/>
  <c r="A1" i="21"/>
  <c r="D56" i="20"/>
  <c r="C45" i="20"/>
  <c r="I45" i="20" s="1"/>
  <c r="B45" i="20"/>
  <c r="H45" i="20" s="1"/>
  <c r="I43" i="20"/>
  <c r="H43" i="20"/>
  <c r="D43" i="20"/>
  <c r="J43" i="20" s="1"/>
  <c r="I42" i="20"/>
  <c r="H42" i="20"/>
  <c r="D42" i="20"/>
  <c r="J42" i="20" s="1"/>
  <c r="I41" i="20"/>
  <c r="H41" i="20"/>
  <c r="D41" i="20"/>
  <c r="J41" i="20" s="1"/>
  <c r="I40" i="20"/>
  <c r="H40" i="20"/>
  <c r="D40" i="20"/>
  <c r="J40" i="20" s="1"/>
  <c r="I39" i="20"/>
  <c r="H39" i="20"/>
  <c r="D39" i="20"/>
  <c r="J39" i="20" s="1"/>
  <c r="I38" i="20"/>
  <c r="H38" i="20"/>
  <c r="L34" i="20"/>
  <c r="K34" i="20"/>
  <c r="F33" i="20"/>
  <c r="L33" i="20" s="1"/>
  <c r="E33" i="20"/>
  <c r="K33" i="20" s="1"/>
  <c r="D33" i="20"/>
  <c r="J33" i="20" s="1"/>
  <c r="C33" i="20"/>
  <c r="I33" i="20" s="1"/>
  <c r="B33" i="20"/>
  <c r="H33" i="20" s="1"/>
  <c r="F32" i="20"/>
  <c r="L32" i="20" s="1"/>
  <c r="E32" i="20"/>
  <c r="K32" i="20" s="1"/>
  <c r="D32" i="20"/>
  <c r="J32" i="20" s="1"/>
  <c r="C32" i="20"/>
  <c r="I32" i="20" s="1"/>
  <c r="B32" i="20"/>
  <c r="H32" i="20" s="1"/>
  <c r="L31" i="20"/>
  <c r="H31" i="20"/>
  <c r="F31" i="20"/>
  <c r="E31" i="20"/>
  <c r="K31" i="20" s="1"/>
  <c r="D31" i="20"/>
  <c r="J31" i="20" s="1"/>
  <c r="C31" i="20"/>
  <c r="I31" i="20" s="1"/>
  <c r="B31" i="20"/>
  <c r="K30" i="20"/>
  <c r="F30" i="20"/>
  <c r="L30" i="20" s="1"/>
  <c r="E30" i="20"/>
  <c r="D30" i="20"/>
  <c r="J34" i="20" s="1"/>
  <c r="C30" i="20"/>
  <c r="I30" i="20" s="1"/>
  <c r="B30" i="20"/>
  <c r="H30" i="20" s="1"/>
  <c r="F29" i="20"/>
  <c r="F36" i="20" s="1"/>
  <c r="E29" i="20"/>
  <c r="D29" i="20"/>
  <c r="J29" i="20" s="1"/>
  <c r="C29" i="20"/>
  <c r="I34" i="20" s="1"/>
  <c r="B29" i="20"/>
  <c r="H29" i="20" s="1"/>
  <c r="J27" i="20"/>
  <c r="I27" i="20"/>
  <c r="H27" i="20"/>
  <c r="L26" i="20"/>
  <c r="K26" i="20"/>
  <c r="J26" i="20"/>
  <c r="I26" i="20"/>
  <c r="H26" i="20"/>
  <c r="I24" i="20"/>
  <c r="H24" i="20"/>
  <c r="L22" i="20"/>
  <c r="K22" i="20"/>
  <c r="J22" i="20"/>
  <c r="K21" i="20"/>
  <c r="J21" i="20"/>
  <c r="F21" i="20"/>
  <c r="L21" i="20" s="1"/>
  <c r="K20" i="20"/>
  <c r="J20" i="20"/>
  <c r="F20" i="20"/>
  <c r="L20" i="20" s="1"/>
  <c r="K19" i="20"/>
  <c r="J19" i="20"/>
  <c r="F19" i="20"/>
  <c r="L19" i="20" s="1"/>
  <c r="K18" i="20"/>
  <c r="J18" i="20"/>
  <c r="F18" i="20"/>
  <c r="L18" i="20" s="1"/>
  <c r="E17" i="20"/>
  <c r="D17" i="20"/>
  <c r="D38" i="20" s="1"/>
  <c r="L16" i="20"/>
  <c r="K16" i="20"/>
  <c r="J16" i="20"/>
  <c r="I16" i="20"/>
  <c r="H16" i="20"/>
  <c r="L15" i="20"/>
  <c r="K15" i="20"/>
  <c r="I15" i="20"/>
  <c r="D15" i="20"/>
  <c r="J15" i="20" s="1"/>
  <c r="C15" i="20"/>
  <c r="B15" i="20"/>
  <c r="H15" i="20" s="1"/>
  <c r="J13" i="20"/>
  <c r="I13" i="20"/>
  <c r="H13" i="20"/>
  <c r="J12" i="20"/>
  <c r="I12" i="20"/>
  <c r="H12" i="20"/>
  <c r="J11" i="20"/>
  <c r="I11" i="20"/>
  <c r="H11" i="20"/>
  <c r="J10" i="20"/>
  <c r="I10" i="20"/>
  <c r="H10" i="20"/>
  <c r="J9" i="20"/>
  <c r="I9" i="20"/>
  <c r="H9" i="20"/>
  <c r="F5" i="20"/>
  <c r="A1" i="20"/>
  <c r="M38" i="19"/>
  <c r="C36" i="19"/>
  <c r="K36" i="19" s="1"/>
  <c r="B36" i="19"/>
  <c r="J36" i="19" s="1"/>
  <c r="N35" i="19"/>
  <c r="L35" i="19"/>
  <c r="K35" i="19"/>
  <c r="J35" i="19"/>
  <c r="H35" i="19"/>
  <c r="P35" i="19" s="1"/>
  <c r="P34" i="19"/>
  <c r="N34" i="19"/>
  <c r="L34" i="19"/>
  <c r="K34" i="19"/>
  <c r="J34" i="19"/>
  <c r="K33" i="19"/>
  <c r="J33" i="19"/>
  <c r="L33" i="19"/>
  <c r="M32" i="19"/>
  <c r="L32" i="19"/>
  <c r="K32" i="19"/>
  <c r="J32" i="19"/>
  <c r="P31" i="19"/>
  <c r="N31" i="19"/>
  <c r="M31" i="19"/>
  <c r="K31" i="19"/>
  <c r="J31" i="19"/>
  <c r="D31" i="19"/>
  <c r="L31" i="19" s="1"/>
  <c r="D28" i="19"/>
  <c r="L28" i="19" s="1"/>
  <c r="C28" i="19"/>
  <c r="B28" i="19"/>
  <c r="M27" i="19"/>
  <c r="L27" i="19"/>
  <c r="K27" i="19"/>
  <c r="J27" i="19"/>
  <c r="H27" i="19"/>
  <c r="P27" i="19" s="1"/>
  <c r="F27" i="19"/>
  <c r="N27" i="19" s="1"/>
  <c r="M26" i="19"/>
  <c r="L26" i="19"/>
  <c r="K26" i="19"/>
  <c r="J26" i="19"/>
  <c r="M25" i="19"/>
  <c r="L25" i="19"/>
  <c r="K25" i="19"/>
  <c r="J25" i="19"/>
  <c r="F25" i="19"/>
  <c r="N25" i="19" s="1"/>
  <c r="M24" i="19"/>
  <c r="L24" i="19"/>
  <c r="K24" i="19"/>
  <c r="J24" i="19"/>
  <c r="M23" i="19"/>
  <c r="L23" i="19"/>
  <c r="K23" i="19"/>
  <c r="J23" i="19"/>
  <c r="H23" i="19"/>
  <c r="P23" i="19" s="1"/>
  <c r="F23" i="19"/>
  <c r="N23" i="19" s="1"/>
  <c r="M22" i="19"/>
  <c r="L22" i="19"/>
  <c r="K22" i="19"/>
  <c r="J22" i="19"/>
  <c r="M21" i="19"/>
  <c r="K21" i="19"/>
  <c r="J21" i="19"/>
  <c r="L21" i="19"/>
  <c r="J18" i="19"/>
  <c r="D18" i="19"/>
  <c r="L18" i="19" s="1"/>
  <c r="C18" i="19"/>
  <c r="K18" i="19" s="1"/>
  <c r="B18" i="19"/>
  <c r="P17" i="19"/>
  <c r="O17" i="19"/>
  <c r="N17" i="19"/>
  <c r="M17" i="19"/>
  <c r="L17" i="19"/>
  <c r="K17" i="19"/>
  <c r="J17" i="19"/>
  <c r="P16" i="19"/>
  <c r="N16" i="19"/>
  <c r="L16" i="19"/>
  <c r="K16" i="19"/>
  <c r="J16" i="19"/>
  <c r="L15" i="19"/>
  <c r="K15" i="19"/>
  <c r="J15" i="19"/>
  <c r="F26" i="19"/>
  <c r="N26" i="19" s="1"/>
  <c r="N14" i="19"/>
  <c r="L14" i="19"/>
  <c r="K14" i="19"/>
  <c r="J14" i="19"/>
  <c r="H25" i="19"/>
  <c r="P25" i="19" s="1"/>
  <c r="N13" i="19"/>
  <c r="L13" i="19"/>
  <c r="K13" i="19"/>
  <c r="J13" i="19"/>
  <c r="P13" i="19"/>
  <c r="L12" i="19"/>
  <c r="K12" i="19"/>
  <c r="J12" i="19"/>
  <c r="N12" i="19"/>
  <c r="N11" i="19"/>
  <c r="L11" i="19"/>
  <c r="K11" i="19"/>
  <c r="J11" i="19"/>
  <c r="H32" i="19"/>
  <c r="P32" i="19" s="1"/>
  <c r="F32" i="19"/>
  <c r="N32" i="19" s="1"/>
  <c r="P10" i="19"/>
  <c r="N10" i="19"/>
  <c r="L10" i="19"/>
  <c r="K10" i="19"/>
  <c r="J10" i="19"/>
  <c r="L9" i="19"/>
  <c r="K9" i="19"/>
  <c r="J9" i="19"/>
  <c r="N9" i="19"/>
  <c r="L8" i="19"/>
  <c r="K8" i="19"/>
  <c r="J8" i="19"/>
  <c r="L8" i="18"/>
  <c r="C8" i="18"/>
  <c r="B8" i="18"/>
  <c r="M34" i="17"/>
  <c r="L34" i="17"/>
  <c r="T31" i="17"/>
  <c r="S31" i="17"/>
  <c r="L31" i="17"/>
  <c r="F31" i="17"/>
  <c r="M31" i="17" s="1"/>
  <c r="E31" i="17"/>
  <c r="M29" i="17"/>
  <c r="L29" i="17"/>
  <c r="M28" i="17"/>
  <c r="L28" i="17"/>
  <c r="M27" i="17"/>
  <c r="L27" i="17"/>
  <c r="M26" i="17"/>
  <c r="L26" i="17"/>
  <c r="M25" i="17"/>
  <c r="L25" i="17"/>
  <c r="M24" i="17"/>
  <c r="L24" i="17"/>
  <c r="Q21" i="17"/>
  <c r="C21" i="17"/>
  <c r="S18" i="17"/>
  <c r="K18" i="17"/>
  <c r="J18" i="17"/>
  <c r="I18" i="17"/>
  <c r="E18" i="17"/>
  <c r="F18" i="17" s="1"/>
  <c r="S17" i="17"/>
  <c r="T17" i="17" s="1"/>
  <c r="K17" i="17"/>
  <c r="J17" i="17"/>
  <c r="I17" i="17"/>
  <c r="E17" i="17"/>
  <c r="S16" i="17"/>
  <c r="T16" i="17" s="1"/>
  <c r="L16" i="17"/>
  <c r="K16" i="17"/>
  <c r="J16" i="17"/>
  <c r="I16" i="17"/>
  <c r="F16" i="17"/>
  <c r="M16" i="17" s="1"/>
  <c r="E16" i="17"/>
  <c r="S15" i="17"/>
  <c r="T15" i="17" s="1"/>
  <c r="K15" i="17"/>
  <c r="J15" i="17"/>
  <c r="I15" i="17"/>
  <c r="E15" i="17"/>
  <c r="L15" i="17" s="1"/>
  <c r="P14" i="17"/>
  <c r="P21" i="17" s="1"/>
  <c r="K14" i="17"/>
  <c r="J14" i="17"/>
  <c r="B14" i="17"/>
  <c r="E14" i="17" s="1"/>
  <c r="S13" i="17"/>
  <c r="T13" i="17" s="1"/>
  <c r="K13" i="17"/>
  <c r="J13" i="17"/>
  <c r="I13" i="17"/>
  <c r="E13" i="17"/>
  <c r="L13" i="17" s="1"/>
  <c r="S12" i="17"/>
  <c r="K12" i="17"/>
  <c r="J12" i="17"/>
  <c r="I12" i="17"/>
  <c r="E12" i="17"/>
  <c r="F12" i="17" s="1"/>
  <c r="T11" i="17"/>
  <c r="S11" i="17"/>
  <c r="K11" i="17"/>
  <c r="J11" i="17"/>
  <c r="I11" i="17"/>
  <c r="F11" i="17"/>
  <c r="E11" i="17"/>
  <c r="T10" i="17"/>
  <c r="S10" i="17"/>
  <c r="K10" i="17"/>
  <c r="J10" i="17"/>
  <c r="I10" i="17"/>
  <c r="F10" i="17"/>
  <c r="E10" i="17"/>
  <c r="L10" i="17" s="1"/>
  <c r="T9" i="17"/>
  <c r="S9" i="17"/>
  <c r="K9" i="17"/>
  <c r="J9" i="17"/>
  <c r="I9" i="17"/>
  <c r="F9" i="17"/>
  <c r="M9" i="17" s="1"/>
  <c r="E9" i="17"/>
  <c r="P8" i="17"/>
  <c r="S8" i="17" s="1"/>
  <c r="T8" i="17" s="1"/>
  <c r="K8" i="17"/>
  <c r="J8" i="17"/>
  <c r="B8" i="17"/>
  <c r="A1" i="17"/>
  <c r="J56" i="16"/>
  <c r="U56" i="16" s="1"/>
  <c r="Q46" i="16"/>
  <c r="N46" i="16"/>
  <c r="E46" i="16"/>
  <c r="P46" i="16" s="1"/>
  <c r="B46" i="16"/>
  <c r="M46" i="16" s="1"/>
  <c r="U44" i="16"/>
  <c r="T44" i="16"/>
  <c r="S44" i="16"/>
  <c r="R44" i="16"/>
  <c r="Q44" i="16"/>
  <c r="P44" i="16"/>
  <c r="O44" i="16"/>
  <c r="N44" i="16"/>
  <c r="M44" i="16"/>
  <c r="S43" i="16"/>
  <c r="P43" i="16"/>
  <c r="N43" i="16"/>
  <c r="M43" i="16"/>
  <c r="F43" i="16"/>
  <c r="G43" i="16" s="1"/>
  <c r="D43" i="16"/>
  <c r="O43" i="16" s="1"/>
  <c r="S42" i="16"/>
  <c r="Q42" i="16"/>
  <c r="P42" i="16"/>
  <c r="N42" i="16"/>
  <c r="M42" i="16"/>
  <c r="F42" i="16"/>
  <c r="G42" i="16" s="1"/>
  <c r="D42" i="16"/>
  <c r="O42" i="16" s="1"/>
  <c r="S41" i="16"/>
  <c r="P41" i="16"/>
  <c r="N41" i="16"/>
  <c r="M41" i="16"/>
  <c r="F41" i="16"/>
  <c r="G41" i="16" s="1"/>
  <c r="D41" i="16"/>
  <c r="O41" i="16" s="1"/>
  <c r="S40" i="16"/>
  <c r="Q40" i="16"/>
  <c r="P40" i="16"/>
  <c r="N40" i="16"/>
  <c r="M40" i="16"/>
  <c r="G40" i="16"/>
  <c r="R40" i="16" s="1"/>
  <c r="D40" i="16"/>
  <c r="O40" i="16" s="1"/>
  <c r="S39" i="16"/>
  <c r="P39" i="16"/>
  <c r="N39" i="16"/>
  <c r="M39" i="16"/>
  <c r="F39" i="16"/>
  <c r="G39" i="16" s="1"/>
  <c r="D39" i="16"/>
  <c r="S38" i="16"/>
  <c r="P38" i="16"/>
  <c r="O38" i="16"/>
  <c r="N38" i="16"/>
  <c r="M38" i="16"/>
  <c r="F38" i="16"/>
  <c r="Q38" i="16" s="1"/>
  <c r="D38" i="16"/>
  <c r="S37" i="16"/>
  <c r="P37" i="16"/>
  <c r="N37" i="16"/>
  <c r="M37" i="16"/>
  <c r="F37" i="16"/>
  <c r="G37" i="16" s="1"/>
  <c r="D37" i="16"/>
  <c r="S36" i="16"/>
  <c r="P36" i="16"/>
  <c r="N36" i="16"/>
  <c r="M36" i="16"/>
  <c r="F36" i="16"/>
  <c r="Q36" i="16" s="1"/>
  <c r="D36" i="16"/>
  <c r="O36" i="16" s="1"/>
  <c r="S35" i="16"/>
  <c r="P35" i="16"/>
  <c r="N35" i="16"/>
  <c r="M35" i="16"/>
  <c r="F35" i="16"/>
  <c r="Q35" i="16" s="1"/>
  <c r="D35" i="16"/>
  <c r="S34" i="16"/>
  <c r="P34" i="16"/>
  <c r="O34" i="16"/>
  <c r="N34" i="16"/>
  <c r="M34" i="16"/>
  <c r="F34" i="16"/>
  <c r="Q34" i="16" s="1"/>
  <c r="D34" i="16"/>
  <c r="S33" i="16"/>
  <c r="Q33" i="16"/>
  <c r="P33" i="16"/>
  <c r="N33" i="16"/>
  <c r="M33" i="16"/>
  <c r="G33" i="16"/>
  <c r="R33" i="16" s="1"/>
  <c r="F33" i="16"/>
  <c r="D33" i="16"/>
  <c r="S32" i="16"/>
  <c r="Q32" i="16"/>
  <c r="P32" i="16"/>
  <c r="N32" i="16"/>
  <c r="M32" i="16"/>
  <c r="G32" i="16"/>
  <c r="R32" i="16" s="1"/>
  <c r="D32" i="16"/>
  <c r="O32" i="16" s="1"/>
  <c r="S31" i="16"/>
  <c r="Q31" i="16"/>
  <c r="P31" i="16"/>
  <c r="M31" i="16"/>
  <c r="G31" i="16"/>
  <c r="R31" i="16" s="1"/>
  <c r="C31" i="16"/>
  <c r="N31" i="16" s="1"/>
  <c r="U30" i="16"/>
  <c r="T30" i="16"/>
  <c r="S30" i="16"/>
  <c r="R30" i="16"/>
  <c r="Q30" i="16"/>
  <c r="P30" i="16"/>
  <c r="O30" i="16"/>
  <c r="N30" i="16"/>
  <c r="M30" i="16"/>
  <c r="S29" i="16"/>
  <c r="P29" i="16"/>
  <c r="N29" i="16"/>
  <c r="M29" i="16"/>
  <c r="F29" i="16"/>
  <c r="Q29" i="16" s="1"/>
  <c r="D29" i="16"/>
  <c r="O29" i="16" s="1"/>
  <c r="S28" i="16"/>
  <c r="P28" i="16"/>
  <c r="N28" i="16"/>
  <c r="M28" i="16"/>
  <c r="F28" i="16"/>
  <c r="Q28" i="16" s="1"/>
  <c r="D28" i="16"/>
  <c r="S27" i="16"/>
  <c r="P27" i="16"/>
  <c r="N27" i="16"/>
  <c r="M27" i="16"/>
  <c r="G27" i="16"/>
  <c r="R27" i="16" s="1"/>
  <c r="F27" i="16"/>
  <c r="Q27" i="16" s="1"/>
  <c r="D27" i="16"/>
  <c r="O27" i="16" s="1"/>
  <c r="S26" i="16"/>
  <c r="P26" i="16"/>
  <c r="N26" i="16"/>
  <c r="M26" i="16"/>
  <c r="F26" i="16"/>
  <c r="Q26" i="16" s="1"/>
  <c r="D26" i="16"/>
  <c r="S25" i="16"/>
  <c r="P25" i="16"/>
  <c r="N25" i="16"/>
  <c r="M25" i="16"/>
  <c r="F25" i="16"/>
  <c r="Q25" i="16" s="1"/>
  <c r="D25" i="16"/>
  <c r="O25" i="16" s="1"/>
  <c r="S24" i="16"/>
  <c r="P24" i="16"/>
  <c r="N24" i="16"/>
  <c r="M24" i="16"/>
  <c r="F24" i="16"/>
  <c r="Q24" i="16" s="1"/>
  <c r="D24" i="16"/>
  <c r="S23" i="16"/>
  <c r="P23" i="16"/>
  <c r="N23" i="16"/>
  <c r="M23" i="16"/>
  <c r="G23" i="16"/>
  <c r="R23" i="16" s="1"/>
  <c r="F23" i="16"/>
  <c r="Q23" i="16" s="1"/>
  <c r="D23" i="16"/>
  <c r="O23" i="16" s="1"/>
  <c r="S22" i="16"/>
  <c r="P22" i="16"/>
  <c r="N22" i="16"/>
  <c r="M22" i="16"/>
  <c r="F22" i="16"/>
  <c r="Q22" i="16" s="1"/>
  <c r="D22" i="16"/>
  <c r="S21" i="16"/>
  <c r="P21" i="16"/>
  <c r="N21" i="16"/>
  <c r="M21" i="16"/>
  <c r="F21" i="16"/>
  <c r="Q21" i="16" s="1"/>
  <c r="D21" i="16"/>
  <c r="O21" i="16" s="1"/>
  <c r="S20" i="16"/>
  <c r="P20" i="16"/>
  <c r="N20" i="16"/>
  <c r="M20" i="16"/>
  <c r="F20" i="16"/>
  <c r="Q20" i="16" s="1"/>
  <c r="D20" i="16"/>
  <c r="S19" i="16"/>
  <c r="P19" i="16"/>
  <c r="N19" i="16"/>
  <c r="M19" i="16"/>
  <c r="F19" i="16"/>
  <c r="Q19" i="16" s="1"/>
  <c r="D19" i="16"/>
  <c r="O19" i="16" s="1"/>
  <c r="S18" i="16"/>
  <c r="P18" i="16"/>
  <c r="N18" i="16"/>
  <c r="M18" i="16"/>
  <c r="F18" i="16"/>
  <c r="Q18" i="16" s="1"/>
  <c r="D18" i="16"/>
  <c r="S17" i="16"/>
  <c r="P17" i="16"/>
  <c r="N17" i="16"/>
  <c r="M17" i="16"/>
  <c r="F17" i="16"/>
  <c r="Q17" i="16" s="1"/>
  <c r="D17" i="16"/>
  <c r="O17" i="16" s="1"/>
  <c r="S16" i="16"/>
  <c r="P16" i="16"/>
  <c r="N16" i="16"/>
  <c r="M16" i="16"/>
  <c r="F16" i="16"/>
  <c r="Q16" i="16" s="1"/>
  <c r="D16" i="16"/>
  <c r="S15" i="16"/>
  <c r="P15" i="16"/>
  <c r="O15" i="16"/>
  <c r="N15" i="16"/>
  <c r="M15" i="16"/>
  <c r="F15" i="16"/>
  <c r="Q15" i="16" s="1"/>
  <c r="D15" i="16"/>
  <c r="U11" i="16"/>
  <c r="J11" i="16"/>
  <c r="S9" i="16"/>
  <c r="H9" i="16"/>
  <c r="K6" i="16"/>
  <c r="K7" i="16" s="1"/>
  <c r="K8" i="16" s="1"/>
  <c r="K9" i="16" s="1"/>
  <c r="A1" i="16"/>
  <c r="H35" i="15"/>
  <c r="D35" i="15"/>
  <c r="C35" i="15"/>
  <c r="B35" i="15"/>
  <c r="D33" i="15"/>
  <c r="J33" i="15" s="1"/>
  <c r="C33" i="15"/>
  <c r="I33" i="15" s="1"/>
  <c r="B33" i="15"/>
  <c r="H33" i="15" s="1"/>
  <c r="J30" i="15"/>
  <c r="I30" i="15"/>
  <c r="H30" i="15"/>
  <c r="J29" i="15"/>
  <c r="I29" i="15"/>
  <c r="H29" i="15"/>
  <c r="E29" i="15"/>
  <c r="L28" i="15"/>
  <c r="K28" i="15"/>
  <c r="J28" i="15"/>
  <c r="I28" i="15"/>
  <c r="H28" i="15"/>
  <c r="K26" i="15"/>
  <c r="J26" i="15"/>
  <c r="I26" i="15"/>
  <c r="H26" i="15"/>
  <c r="D16" i="15"/>
  <c r="J16" i="15" s="1"/>
  <c r="J14" i="15"/>
  <c r="I14" i="15"/>
  <c r="H14" i="15"/>
  <c r="F14" i="15"/>
  <c r="L14" i="15" s="1"/>
  <c r="E14" i="15"/>
  <c r="K14" i="15" s="1"/>
  <c r="J13" i="15"/>
  <c r="I13" i="15"/>
  <c r="H13" i="15"/>
  <c r="L12" i="15"/>
  <c r="K12" i="15"/>
  <c r="J12" i="15"/>
  <c r="I12" i="15"/>
  <c r="H12" i="15"/>
  <c r="L11" i="15"/>
  <c r="K11" i="15"/>
  <c r="D18" i="15"/>
  <c r="J18" i="15" s="1"/>
  <c r="C18" i="15"/>
  <c r="B18" i="15"/>
  <c r="K9" i="15"/>
  <c r="J9" i="15"/>
  <c r="I9" i="15"/>
  <c r="H9" i="15"/>
  <c r="A1" i="15"/>
  <c r="L9" i="14"/>
  <c r="C9" i="14"/>
  <c r="B9" i="14"/>
  <c r="C7" i="14"/>
  <c r="I7" i="14" s="1"/>
  <c r="B7" i="14"/>
  <c r="H7" i="14" s="1"/>
  <c r="J27" i="13"/>
  <c r="I27" i="13"/>
  <c r="H27" i="13"/>
  <c r="G27" i="13"/>
  <c r="J26" i="13"/>
  <c r="I26" i="13"/>
  <c r="H26" i="13"/>
  <c r="G26" i="13"/>
  <c r="D23" i="13"/>
  <c r="I23" i="13" s="1"/>
  <c r="B23" i="13"/>
  <c r="G23" i="13" s="1"/>
  <c r="I22" i="13"/>
  <c r="G22" i="13"/>
  <c r="E22" i="13"/>
  <c r="J22" i="13" s="1"/>
  <c r="C22" i="13"/>
  <c r="C23" i="13" s="1"/>
  <c r="H23" i="13" s="1"/>
  <c r="I21" i="13"/>
  <c r="H21" i="13"/>
  <c r="G21" i="13"/>
  <c r="H20" i="13"/>
  <c r="G20" i="13"/>
  <c r="G19" i="13"/>
  <c r="D19" i="13"/>
  <c r="I19" i="13" s="1"/>
  <c r="C19" i="13"/>
  <c r="H19" i="13" s="1"/>
  <c r="J18" i="13"/>
  <c r="I18" i="13"/>
  <c r="H18" i="13"/>
  <c r="G18" i="13"/>
  <c r="E18" i="13"/>
  <c r="D18" i="13"/>
  <c r="C18" i="13"/>
  <c r="B18" i="13"/>
  <c r="D10" i="13"/>
  <c r="I10" i="13" s="1"/>
  <c r="I9" i="13"/>
  <c r="G9" i="13"/>
  <c r="E9" i="13"/>
  <c r="E10" i="13" s="1"/>
  <c r="C9" i="13"/>
  <c r="J8" i="13"/>
  <c r="I8" i="13"/>
  <c r="A2" i="13"/>
  <c r="A1" i="14" s="1"/>
  <c r="F27" i="12"/>
  <c r="K27" i="12" s="1"/>
  <c r="E27" i="12"/>
  <c r="J27" i="12" s="1"/>
  <c r="D27" i="12"/>
  <c r="I27" i="12" s="1"/>
  <c r="F26" i="12"/>
  <c r="E26" i="12"/>
  <c r="J26" i="12" s="1"/>
  <c r="D26" i="12"/>
  <c r="I26" i="12" s="1"/>
  <c r="F25" i="12"/>
  <c r="K25" i="12" s="1"/>
  <c r="E25" i="12"/>
  <c r="J25" i="12" s="1"/>
  <c r="D25" i="12"/>
  <c r="I25" i="12" s="1"/>
  <c r="F22" i="12"/>
  <c r="K22" i="12" s="1"/>
  <c r="E22" i="12"/>
  <c r="J22" i="12" s="1"/>
  <c r="D22" i="12"/>
  <c r="I22" i="12" s="1"/>
  <c r="C22" i="12"/>
  <c r="H22" i="12" s="1"/>
  <c r="K21" i="12"/>
  <c r="J21" i="12"/>
  <c r="I21" i="12"/>
  <c r="H21" i="12"/>
  <c r="K20" i="12"/>
  <c r="J20" i="12"/>
  <c r="I20" i="12"/>
  <c r="H20" i="12"/>
  <c r="K19" i="12"/>
  <c r="J19" i="12"/>
  <c r="I19" i="12"/>
  <c r="H19" i="12"/>
  <c r="K18" i="12"/>
  <c r="J18" i="12"/>
  <c r="I18" i="12"/>
  <c r="H18" i="12"/>
  <c r="E12" i="12"/>
  <c r="K10" i="12"/>
  <c r="J10" i="12"/>
  <c r="I10" i="12"/>
  <c r="H10" i="12"/>
  <c r="A2" i="12"/>
  <c r="F1" i="12"/>
  <c r="P699" i="11"/>
  <c r="O699" i="11"/>
  <c r="N699" i="11"/>
  <c r="M699" i="11"/>
  <c r="G699" i="11"/>
  <c r="F699" i="11"/>
  <c r="E699" i="11"/>
  <c r="D699" i="11"/>
  <c r="C699" i="11"/>
  <c r="B699" i="11"/>
  <c r="P697" i="11"/>
  <c r="O697" i="11"/>
  <c r="N697" i="11"/>
  <c r="M697" i="11"/>
  <c r="P696" i="11"/>
  <c r="O696" i="11"/>
  <c r="N696" i="11"/>
  <c r="M696" i="11"/>
  <c r="P695" i="11"/>
  <c r="O695" i="11"/>
  <c r="N695" i="11"/>
  <c r="M695" i="11"/>
  <c r="P694" i="11"/>
  <c r="O694" i="11"/>
  <c r="N694" i="11"/>
  <c r="M694" i="11"/>
  <c r="P693" i="11"/>
  <c r="O693" i="11"/>
  <c r="N693" i="11"/>
  <c r="M693" i="11"/>
  <c r="P692" i="11"/>
  <c r="O692" i="11"/>
  <c r="N692" i="11"/>
  <c r="M692" i="11"/>
  <c r="P691" i="11"/>
  <c r="O691" i="11"/>
  <c r="N691" i="11"/>
  <c r="M691" i="11"/>
  <c r="P690" i="11"/>
  <c r="O690" i="11"/>
  <c r="N690" i="11"/>
  <c r="M690" i="11"/>
  <c r="P689" i="11"/>
  <c r="O689" i="11"/>
  <c r="N689" i="11"/>
  <c r="M689" i="11"/>
  <c r="P688" i="11"/>
  <c r="O688" i="11"/>
  <c r="N688" i="11"/>
  <c r="M688" i="11"/>
  <c r="P684" i="11"/>
  <c r="O684" i="11"/>
  <c r="N684" i="11"/>
  <c r="M684" i="11"/>
  <c r="G684" i="11"/>
  <c r="F684" i="11"/>
  <c r="E684" i="11"/>
  <c r="D684" i="11"/>
  <c r="C684" i="11"/>
  <c r="B684" i="11"/>
  <c r="P682" i="11"/>
  <c r="O682" i="11"/>
  <c r="N682" i="11"/>
  <c r="M682" i="11"/>
  <c r="P681" i="11"/>
  <c r="O681" i="11"/>
  <c r="N681" i="11"/>
  <c r="M681" i="11"/>
  <c r="P680" i="11"/>
  <c r="O680" i="11"/>
  <c r="N680" i="11"/>
  <c r="M680" i="11"/>
  <c r="P679" i="11"/>
  <c r="O679" i="11"/>
  <c r="N679" i="11"/>
  <c r="M679" i="11"/>
  <c r="P678" i="11"/>
  <c r="O678" i="11"/>
  <c r="N678" i="11"/>
  <c r="M678" i="11"/>
  <c r="P677" i="11"/>
  <c r="O677" i="11"/>
  <c r="N677" i="11"/>
  <c r="M677" i="11"/>
  <c r="P676" i="11"/>
  <c r="O676" i="11"/>
  <c r="N676" i="11"/>
  <c r="M676" i="11"/>
  <c r="P675" i="11"/>
  <c r="O675" i="11"/>
  <c r="N675" i="11"/>
  <c r="M675" i="11"/>
  <c r="P674" i="11"/>
  <c r="O674" i="11"/>
  <c r="N674" i="11"/>
  <c r="M674" i="11"/>
  <c r="P673" i="11"/>
  <c r="O673" i="11"/>
  <c r="N673" i="11"/>
  <c r="M673" i="11"/>
  <c r="P669" i="11"/>
  <c r="O669" i="11"/>
  <c r="N669" i="11"/>
  <c r="M669" i="11"/>
  <c r="G669" i="11"/>
  <c r="F669" i="11"/>
  <c r="E669" i="11"/>
  <c r="D669" i="11"/>
  <c r="C669" i="11"/>
  <c r="B669" i="11"/>
  <c r="P667" i="11"/>
  <c r="O667" i="11"/>
  <c r="N667" i="11"/>
  <c r="M667" i="11"/>
  <c r="P666" i="11"/>
  <c r="O666" i="11"/>
  <c r="N666" i="11"/>
  <c r="M666" i="11"/>
  <c r="P665" i="11"/>
  <c r="O665" i="11"/>
  <c r="N665" i="11"/>
  <c r="M665" i="11"/>
  <c r="P664" i="11"/>
  <c r="O664" i="11"/>
  <c r="N664" i="11"/>
  <c r="M664" i="11"/>
  <c r="P663" i="11"/>
  <c r="O663" i="11"/>
  <c r="N663" i="11"/>
  <c r="M663" i="11"/>
  <c r="P662" i="11"/>
  <c r="O662" i="11"/>
  <c r="N662" i="11"/>
  <c r="M662" i="11"/>
  <c r="P661" i="11"/>
  <c r="O661" i="11"/>
  <c r="N661" i="11"/>
  <c r="M661" i="11"/>
  <c r="P660" i="11"/>
  <c r="O660" i="11"/>
  <c r="N660" i="11"/>
  <c r="M660" i="11"/>
  <c r="P659" i="11"/>
  <c r="O659" i="11"/>
  <c r="N659" i="11"/>
  <c r="M659" i="11"/>
  <c r="P658" i="11"/>
  <c r="O658" i="11"/>
  <c r="N658" i="11"/>
  <c r="M658" i="11"/>
  <c r="P654" i="11"/>
  <c r="O654" i="11"/>
  <c r="N654" i="11"/>
  <c r="M654" i="11"/>
  <c r="G654" i="11"/>
  <c r="F654" i="11"/>
  <c r="E654" i="11"/>
  <c r="D654" i="11"/>
  <c r="C654" i="11"/>
  <c r="B654" i="11"/>
  <c r="P652" i="11"/>
  <c r="O652" i="11"/>
  <c r="N652" i="11"/>
  <c r="M652" i="11"/>
  <c r="P651" i="11"/>
  <c r="O651" i="11"/>
  <c r="N651" i="11"/>
  <c r="M651" i="11"/>
  <c r="P650" i="11"/>
  <c r="O650" i="11"/>
  <c r="N650" i="11"/>
  <c r="M650" i="11"/>
  <c r="P649" i="11"/>
  <c r="O649" i="11"/>
  <c r="N649" i="11"/>
  <c r="M649" i="11"/>
  <c r="P648" i="11"/>
  <c r="O648" i="11"/>
  <c r="N648" i="11"/>
  <c r="M648" i="11"/>
  <c r="P647" i="11"/>
  <c r="O647" i="11"/>
  <c r="N647" i="11"/>
  <c r="M647" i="11"/>
  <c r="P646" i="11"/>
  <c r="O646" i="11"/>
  <c r="N646" i="11"/>
  <c r="M646" i="11"/>
  <c r="P645" i="11"/>
  <c r="O645" i="11"/>
  <c r="N645" i="11"/>
  <c r="M645" i="11"/>
  <c r="P644" i="11"/>
  <c r="O644" i="11"/>
  <c r="N644" i="11"/>
  <c r="M644" i="11"/>
  <c r="P643" i="11"/>
  <c r="O643" i="11"/>
  <c r="N643" i="11"/>
  <c r="M643" i="11"/>
  <c r="P639" i="11"/>
  <c r="O639" i="11"/>
  <c r="N639" i="11"/>
  <c r="M639" i="11"/>
  <c r="F639" i="11"/>
  <c r="D639" i="11"/>
  <c r="B639" i="11"/>
  <c r="P637" i="11"/>
  <c r="O637" i="11"/>
  <c r="N637" i="11"/>
  <c r="M637" i="11"/>
  <c r="G637" i="11"/>
  <c r="E637" i="11"/>
  <c r="C637" i="11"/>
  <c r="P636" i="11"/>
  <c r="O636" i="11"/>
  <c r="N636" i="11"/>
  <c r="M636" i="11"/>
  <c r="G636" i="11"/>
  <c r="E636" i="11"/>
  <c r="C636" i="11"/>
  <c r="P635" i="11"/>
  <c r="O635" i="11"/>
  <c r="N635" i="11"/>
  <c r="M635" i="11"/>
  <c r="G635" i="11"/>
  <c r="E635" i="11"/>
  <c r="C635" i="11"/>
  <c r="P634" i="11"/>
  <c r="O634" i="11"/>
  <c r="N634" i="11"/>
  <c r="M634" i="11"/>
  <c r="G634" i="11"/>
  <c r="E634" i="11"/>
  <c r="C634" i="11"/>
  <c r="P633" i="11"/>
  <c r="O633" i="11"/>
  <c r="N633" i="11"/>
  <c r="M633" i="11"/>
  <c r="G633" i="11"/>
  <c r="E633" i="11"/>
  <c r="C633" i="11"/>
  <c r="P632" i="11"/>
  <c r="O632" i="11"/>
  <c r="N632" i="11"/>
  <c r="M632" i="11"/>
  <c r="G632" i="11"/>
  <c r="E632" i="11"/>
  <c r="C632" i="11"/>
  <c r="P631" i="11"/>
  <c r="O631" i="11"/>
  <c r="N631" i="11"/>
  <c r="M631" i="11"/>
  <c r="G631" i="11"/>
  <c r="E631" i="11"/>
  <c r="C631" i="11"/>
  <c r="P630" i="11"/>
  <c r="O630" i="11"/>
  <c r="N630" i="11"/>
  <c r="M630" i="11"/>
  <c r="G630" i="11"/>
  <c r="E630" i="11"/>
  <c r="C630" i="11"/>
  <c r="P629" i="11"/>
  <c r="O629" i="11"/>
  <c r="N629" i="11"/>
  <c r="M629" i="11"/>
  <c r="G629" i="11"/>
  <c r="E629" i="11"/>
  <c r="C629" i="11"/>
  <c r="P628" i="11"/>
  <c r="O628" i="11"/>
  <c r="N628" i="11"/>
  <c r="M628" i="11"/>
  <c r="G628" i="11"/>
  <c r="E628" i="11"/>
  <c r="C628" i="11"/>
  <c r="P622" i="11"/>
  <c r="O622" i="11"/>
  <c r="N622" i="11"/>
  <c r="M622" i="11"/>
  <c r="G622" i="11"/>
  <c r="F622" i="11"/>
  <c r="E622" i="11"/>
  <c r="D622" i="11"/>
  <c r="C622" i="11"/>
  <c r="B622" i="11"/>
  <c r="P620" i="11"/>
  <c r="O620" i="11"/>
  <c r="N620" i="11"/>
  <c r="M620" i="11"/>
  <c r="P619" i="11"/>
  <c r="O619" i="11"/>
  <c r="N619" i="11"/>
  <c r="M619" i="11"/>
  <c r="P618" i="11"/>
  <c r="O618" i="11"/>
  <c r="N618" i="11"/>
  <c r="M618" i="11"/>
  <c r="P617" i="11"/>
  <c r="O617" i="11"/>
  <c r="N617" i="11"/>
  <c r="M617" i="11"/>
  <c r="P616" i="11"/>
  <c r="O616" i="11"/>
  <c r="N616" i="11"/>
  <c r="M616" i="11"/>
  <c r="P615" i="11"/>
  <c r="O615" i="11"/>
  <c r="N615" i="11"/>
  <c r="M615" i="11"/>
  <c r="P614" i="11"/>
  <c r="O614" i="11"/>
  <c r="N614" i="11"/>
  <c r="M614" i="11"/>
  <c r="P613" i="11"/>
  <c r="O613" i="11"/>
  <c r="N613" i="11"/>
  <c r="M613" i="11"/>
  <c r="P612" i="11"/>
  <c r="O612" i="11"/>
  <c r="N612" i="11"/>
  <c r="M612" i="11"/>
  <c r="P611" i="11"/>
  <c r="O611" i="11"/>
  <c r="N611" i="11"/>
  <c r="M611" i="11"/>
  <c r="P607" i="11"/>
  <c r="O607" i="11"/>
  <c r="N607" i="11"/>
  <c r="M607" i="11"/>
  <c r="G607" i="11"/>
  <c r="F607" i="11"/>
  <c r="E607" i="11"/>
  <c r="D607" i="11"/>
  <c r="C607" i="11"/>
  <c r="B607" i="11"/>
  <c r="P605" i="11"/>
  <c r="O605" i="11"/>
  <c r="N605" i="11"/>
  <c r="M605" i="11"/>
  <c r="P604" i="11"/>
  <c r="O604" i="11"/>
  <c r="N604" i="11"/>
  <c r="M604" i="11"/>
  <c r="P603" i="11"/>
  <c r="O603" i="11"/>
  <c r="N603" i="11"/>
  <c r="M603" i="11"/>
  <c r="P602" i="11"/>
  <c r="O602" i="11"/>
  <c r="N602" i="11"/>
  <c r="M602" i="11"/>
  <c r="P601" i="11"/>
  <c r="O601" i="11"/>
  <c r="N601" i="11"/>
  <c r="M601" i="11"/>
  <c r="P600" i="11"/>
  <c r="O600" i="11"/>
  <c r="N600" i="11"/>
  <c r="M600" i="11"/>
  <c r="P599" i="11"/>
  <c r="O599" i="11"/>
  <c r="N599" i="11"/>
  <c r="M599" i="11"/>
  <c r="P598" i="11"/>
  <c r="O598" i="11"/>
  <c r="N598" i="11"/>
  <c r="M598" i="11"/>
  <c r="P597" i="11"/>
  <c r="O597" i="11"/>
  <c r="N597" i="11"/>
  <c r="M597" i="11"/>
  <c r="P596" i="11"/>
  <c r="O596" i="11"/>
  <c r="N596" i="11"/>
  <c r="M596" i="11"/>
  <c r="P592" i="11"/>
  <c r="O592" i="11"/>
  <c r="N592" i="11"/>
  <c r="M592" i="11"/>
  <c r="G592" i="11"/>
  <c r="F592" i="11"/>
  <c r="E592" i="11"/>
  <c r="D592" i="11"/>
  <c r="C592" i="11"/>
  <c r="B592" i="11"/>
  <c r="P590" i="11"/>
  <c r="O590" i="11"/>
  <c r="N590" i="11"/>
  <c r="M590" i="11"/>
  <c r="P589" i="11"/>
  <c r="O589" i="11"/>
  <c r="N589" i="11"/>
  <c r="M589" i="11"/>
  <c r="P588" i="11"/>
  <c r="O588" i="11"/>
  <c r="N588" i="11"/>
  <c r="M588" i="11"/>
  <c r="P587" i="11"/>
  <c r="O587" i="11"/>
  <c r="N587" i="11"/>
  <c r="M587" i="11"/>
  <c r="P586" i="11"/>
  <c r="O586" i="11"/>
  <c r="N586" i="11"/>
  <c r="M586" i="11"/>
  <c r="P585" i="11"/>
  <c r="O585" i="11"/>
  <c r="N585" i="11"/>
  <c r="M585" i="11"/>
  <c r="P584" i="11"/>
  <c r="O584" i="11"/>
  <c r="N584" i="11"/>
  <c r="M584" i="11"/>
  <c r="P583" i="11"/>
  <c r="O583" i="11"/>
  <c r="N583" i="11"/>
  <c r="M583" i="11"/>
  <c r="P582" i="11"/>
  <c r="O582" i="11"/>
  <c r="N582" i="11"/>
  <c r="M582" i="11"/>
  <c r="P581" i="11"/>
  <c r="O581" i="11"/>
  <c r="N581" i="11"/>
  <c r="M581" i="11"/>
  <c r="P577" i="11"/>
  <c r="O577" i="11"/>
  <c r="N577" i="11"/>
  <c r="M577" i="11"/>
  <c r="G577" i="11"/>
  <c r="E577" i="11"/>
  <c r="C577" i="11"/>
  <c r="P575" i="11"/>
  <c r="O575" i="11"/>
  <c r="N575" i="11"/>
  <c r="M575" i="11"/>
  <c r="P574" i="11"/>
  <c r="O574" i="11"/>
  <c r="N574" i="11"/>
  <c r="M574" i="11"/>
  <c r="P573" i="11"/>
  <c r="O573" i="11"/>
  <c r="N573" i="11"/>
  <c r="M573" i="11"/>
  <c r="P572" i="11"/>
  <c r="O572" i="11"/>
  <c r="N572" i="11"/>
  <c r="M572" i="11"/>
  <c r="P571" i="11"/>
  <c r="O571" i="11"/>
  <c r="N571" i="11"/>
  <c r="M571" i="11"/>
  <c r="P570" i="11"/>
  <c r="O570" i="11"/>
  <c r="N570" i="11"/>
  <c r="M570" i="11"/>
  <c r="P569" i="11"/>
  <c r="O569" i="11"/>
  <c r="N569" i="11"/>
  <c r="M569" i="11"/>
  <c r="P568" i="11"/>
  <c r="O568" i="11"/>
  <c r="N568" i="11"/>
  <c r="M568" i="11"/>
  <c r="P567" i="11"/>
  <c r="O567" i="11"/>
  <c r="N567" i="11"/>
  <c r="M567" i="11"/>
  <c r="F567" i="11"/>
  <c r="D567" i="11"/>
  <c r="B567" i="11"/>
  <c r="P566" i="11"/>
  <c r="O566" i="11"/>
  <c r="N566" i="11"/>
  <c r="M566" i="11"/>
  <c r="F566" i="11"/>
  <c r="D566" i="11"/>
  <c r="B566" i="11"/>
  <c r="P562" i="11"/>
  <c r="O562" i="11"/>
  <c r="N562" i="11"/>
  <c r="M562" i="11"/>
  <c r="F562" i="11"/>
  <c r="D562" i="11"/>
  <c r="B562" i="11"/>
  <c r="P560" i="11"/>
  <c r="O560" i="11"/>
  <c r="N560" i="11"/>
  <c r="M560" i="11"/>
  <c r="G560" i="11"/>
  <c r="E560" i="11"/>
  <c r="C560" i="11"/>
  <c r="P559" i="11"/>
  <c r="O559" i="11"/>
  <c r="N559" i="11"/>
  <c r="M559" i="11"/>
  <c r="G559" i="11"/>
  <c r="E559" i="11"/>
  <c r="C559" i="11"/>
  <c r="P558" i="11"/>
  <c r="O558" i="11"/>
  <c r="N558" i="11"/>
  <c r="M558" i="11"/>
  <c r="G558" i="11"/>
  <c r="E558" i="11"/>
  <c r="C558" i="11"/>
  <c r="P557" i="11"/>
  <c r="O557" i="11"/>
  <c r="N557" i="11"/>
  <c r="M557" i="11"/>
  <c r="G557" i="11"/>
  <c r="E557" i="11"/>
  <c r="C557" i="11"/>
  <c r="P556" i="11"/>
  <c r="O556" i="11"/>
  <c r="N556" i="11"/>
  <c r="M556" i="11"/>
  <c r="G556" i="11"/>
  <c r="E556" i="11"/>
  <c r="C556" i="11"/>
  <c r="P555" i="11"/>
  <c r="O555" i="11"/>
  <c r="N555" i="11"/>
  <c r="M555" i="11"/>
  <c r="G555" i="11"/>
  <c r="E555" i="11"/>
  <c r="C555" i="11"/>
  <c r="P554" i="11"/>
  <c r="O554" i="11"/>
  <c r="N554" i="11"/>
  <c r="M554" i="11"/>
  <c r="G554" i="11"/>
  <c r="E554" i="11"/>
  <c r="C554" i="11"/>
  <c r="P553" i="11"/>
  <c r="O553" i="11"/>
  <c r="N553" i="11"/>
  <c r="M553" i="11"/>
  <c r="G553" i="11"/>
  <c r="E553" i="11"/>
  <c r="C553" i="11"/>
  <c r="P552" i="11"/>
  <c r="O552" i="11"/>
  <c r="N552" i="11"/>
  <c r="M552" i="11"/>
  <c r="G552" i="11"/>
  <c r="E552" i="11"/>
  <c r="C552" i="11"/>
  <c r="P551" i="11"/>
  <c r="O551" i="11"/>
  <c r="N551" i="11"/>
  <c r="M551" i="11"/>
  <c r="G551" i="11"/>
  <c r="E551" i="11"/>
  <c r="C551" i="11"/>
  <c r="P545" i="11"/>
  <c r="O545" i="11"/>
  <c r="N545" i="11"/>
  <c r="M545" i="11"/>
  <c r="G545" i="11"/>
  <c r="F545" i="11"/>
  <c r="E545" i="11"/>
  <c r="D545" i="11"/>
  <c r="C545" i="11"/>
  <c r="B545" i="11"/>
  <c r="P543" i="11"/>
  <c r="O543" i="11"/>
  <c r="N543" i="11"/>
  <c r="M543" i="11"/>
  <c r="P542" i="11"/>
  <c r="O542" i="11"/>
  <c r="N542" i="11"/>
  <c r="M542" i="11"/>
  <c r="P541" i="11"/>
  <c r="O541" i="11"/>
  <c r="N541" i="11"/>
  <c r="M541" i="11"/>
  <c r="P540" i="11"/>
  <c r="O540" i="11"/>
  <c r="N540" i="11"/>
  <c r="M540" i="11"/>
  <c r="P539" i="11"/>
  <c r="O539" i="11"/>
  <c r="N539" i="11"/>
  <c r="M539" i="11"/>
  <c r="P538" i="11"/>
  <c r="O538" i="11"/>
  <c r="N538" i="11"/>
  <c r="M538" i="11"/>
  <c r="P537" i="11"/>
  <c r="O537" i="11"/>
  <c r="N537" i="11"/>
  <c r="M537" i="11"/>
  <c r="P536" i="11"/>
  <c r="O536" i="11"/>
  <c r="N536" i="11"/>
  <c r="M536" i="11"/>
  <c r="P535" i="11"/>
  <c r="O535" i="11"/>
  <c r="N535" i="11"/>
  <c r="M535" i="11"/>
  <c r="P534" i="11"/>
  <c r="O534" i="11"/>
  <c r="N534" i="11"/>
  <c r="M534" i="11"/>
  <c r="P530" i="11"/>
  <c r="O530" i="11"/>
  <c r="N530" i="11"/>
  <c r="M530" i="11"/>
  <c r="G530" i="11"/>
  <c r="F530" i="11"/>
  <c r="E530" i="11"/>
  <c r="D530" i="11"/>
  <c r="C530" i="11"/>
  <c r="B530" i="11"/>
  <c r="P528" i="11"/>
  <c r="O528" i="11"/>
  <c r="N528" i="11"/>
  <c r="M528" i="11"/>
  <c r="P527" i="11"/>
  <c r="O527" i="11"/>
  <c r="N527" i="11"/>
  <c r="M527" i="11"/>
  <c r="P526" i="11"/>
  <c r="O526" i="11"/>
  <c r="N526" i="11"/>
  <c r="M526" i="11"/>
  <c r="P525" i="11"/>
  <c r="O525" i="11"/>
  <c r="N525" i="11"/>
  <c r="M525" i="11"/>
  <c r="P524" i="11"/>
  <c r="O524" i="11"/>
  <c r="N524" i="11"/>
  <c r="M524" i="11"/>
  <c r="P523" i="11"/>
  <c r="O523" i="11"/>
  <c r="N523" i="11"/>
  <c r="M523" i="11"/>
  <c r="P522" i="11"/>
  <c r="O522" i="11"/>
  <c r="N522" i="11"/>
  <c r="M522" i="11"/>
  <c r="P521" i="11"/>
  <c r="O521" i="11"/>
  <c r="N521" i="11"/>
  <c r="M521" i="11"/>
  <c r="P520" i="11"/>
  <c r="O520" i="11"/>
  <c r="N520" i="11"/>
  <c r="M520" i="11"/>
  <c r="P519" i="11"/>
  <c r="O519" i="11"/>
  <c r="N519" i="11"/>
  <c r="M519" i="11"/>
  <c r="P515" i="11"/>
  <c r="O515" i="11"/>
  <c r="N515" i="11"/>
  <c r="M515" i="11"/>
  <c r="G515" i="11"/>
  <c r="F515" i="11"/>
  <c r="E515" i="11"/>
  <c r="D515" i="11"/>
  <c r="C515" i="11"/>
  <c r="B515" i="11"/>
  <c r="P513" i="11"/>
  <c r="O513" i="11"/>
  <c r="N513" i="11"/>
  <c r="M513" i="11"/>
  <c r="P512" i="11"/>
  <c r="O512" i="11"/>
  <c r="N512" i="11"/>
  <c r="M512" i="11"/>
  <c r="P511" i="11"/>
  <c r="O511" i="11"/>
  <c r="N511" i="11"/>
  <c r="M511" i="11"/>
  <c r="P510" i="11"/>
  <c r="O510" i="11"/>
  <c r="N510" i="11"/>
  <c r="M510" i="11"/>
  <c r="P509" i="11"/>
  <c r="O509" i="11"/>
  <c r="N509" i="11"/>
  <c r="M509" i="11"/>
  <c r="P508" i="11"/>
  <c r="O508" i="11"/>
  <c r="N508" i="11"/>
  <c r="M508" i="11"/>
  <c r="P507" i="11"/>
  <c r="O507" i="11"/>
  <c r="N507" i="11"/>
  <c r="M507" i="11"/>
  <c r="P506" i="11"/>
  <c r="O506" i="11"/>
  <c r="N506" i="11"/>
  <c r="M506" i="11"/>
  <c r="P505" i="11"/>
  <c r="O505" i="11"/>
  <c r="N505" i="11"/>
  <c r="M505" i="11"/>
  <c r="P504" i="11"/>
  <c r="O504" i="11"/>
  <c r="N504" i="11"/>
  <c r="M504" i="11"/>
  <c r="P500" i="11"/>
  <c r="O500" i="11"/>
  <c r="N500" i="11"/>
  <c r="M500" i="11"/>
  <c r="G500" i="11"/>
  <c r="F500" i="11"/>
  <c r="E500" i="11"/>
  <c r="D500" i="11"/>
  <c r="C500" i="11"/>
  <c r="B500" i="11"/>
  <c r="P498" i="11"/>
  <c r="O498" i="11"/>
  <c r="N498" i="11"/>
  <c r="M498" i="11"/>
  <c r="P497" i="11"/>
  <c r="O497" i="11"/>
  <c r="N497" i="11"/>
  <c r="M497" i="11"/>
  <c r="P496" i="11"/>
  <c r="O496" i="11"/>
  <c r="N496" i="11"/>
  <c r="M496" i="11"/>
  <c r="P495" i="11"/>
  <c r="O495" i="11"/>
  <c r="N495" i="11"/>
  <c r="M495" i="11"/>
  <c r="P494" i="11"/>
  <c r="O494" i="11"/>
  <c r="N494" i="11"/>
  <c r="M494" i="11"/>
  <c r="P493" i="11"/>
  <c r="O493" i="11"/>
  <c r="N493" i="11"/>
  <c r="M493" i="11"/>
  <c r="P492" i="11"/>
  <c r="O492" i="11"/>
  <c r="N492" i="11"/>
  <c r="M492" i="11"/>
  <c r="P491" i="11"/>
  <c r="O491" i="11"/>
  <c r="N491" i="11"/>
  <c r="M491" i="11"/>
  <c r="P490" i="11"/>
  <c r="O490" i="11"/>
  <c r="N490" i="11"/>
  <c r="M490" i="11"/>
  <c r="O489" i="11"/>
  <c r="N489" i="11"/>
  <c r="M489" i="11"/>
  <c r="K489" i="11"/>
  <c r="P489" i="11" s="1"/>
  <c r="P485" i="11"/>
  <c r="O485" i="11"/>
  <c r="N485" i="11"/>
  <c r="M485" i="11"/>
  <c r="F485" i="11"/>
  <c r="D485" i="11"/>
  <c r="B485" i="11"/>
  <c r="P483" i="11"/>
  <c r="O483" i="11"/>
  <c r="N483" i="11"/>
  <c r="M483" i="11"/>
  <c r="G483" i="11"/>
  <c r="E483" i="11"/>
  <c r="C483" i="11"/>
  <c r="P482" i="11"/>
  <c r="O482" i="11"/>
  <c r="N482" i="11"/>
  <c r="M482" i="11"/>
  <c r="G482" i="11"/>
  <c r="E482" i="11"/>
  <c r="C482" i="11"/>
  <c r="P481" i="11"/>
  <c r="O481" i="11"/>
  <c r="N481" i="11"/>
  <c r="M481" i="11"/>
  <c r="G481" i="11"/>
  <c r="E481" i="11"/>
  <c r="C481" i="11"/>
  <c r="P480" i="11"/>
  <c r="O480" i="11"/>
  <c r="N480" i="11"/>
  <c r="M480" i="11"/>
  <c r="G480" i="11"/>
  <c r="E480" i="11"/>
  <c r="C480" i="11"/>
  <c r="P479" i="11"/>
  <c r="O479" i="11"/>
  <c r="N479" i="11"/>
  <c r="M479" i="11"/>
  <c r="G479" i="11"/>
  <c r="E479" i="11"/>
  <c r="C479" i="11"/>
  <c r="P478" i="11"/>
  <c r="O478" i="11"/>
  <c r="N478" i="11"/>
  <c r="M478" i="11"/>
  <c r="G478" i="11"/>
  <c r="E478" i="11"/>
  <c r="C478" i="11"/>
  <c r="P477" i="11"/>
  <c r="O477" i="11"/>
  <c r="N477" i="11"/>
  <c r="M477" i="11"/>
  <c r="G477" i="11"/>
  <c r="E477" i="11"/>
  <c r="C477" i="11"/>
  <c r="P476" i="11"/>
  <c r="O476" i="11"/>
  <c r="N476" i="11"/>
  <c r="M476" i="11"/>
  <c r="G476" i="11"/>
  <c r="E476" i="11"/>
  <c r="C476" i="11"/>
  <c r="P475" i="11"/>
  <c r="O475" i="11"/>
  <c r="N475" i="11"/>
  <c r="M475" i="11"/>
  <c r="G475" i="11"/>
  <c r="E475" i="11"/>
  <c r="C475" i="11"/>
  <c r="O474" i="11"/>
  <c r="N474" i="11"/>
  <c r="M474" i="11"/>
  <c r="K474" i="11"/>
  <c r="P474" i="11" s="1"/>
  <c r="G474" i="11"/>
  <c r="E474" i="11"/>
  <c r="C474" i="11"/>
  <c r="P468" i="11"/>
  <c r="O468" i="11"/>
  <c r="N468" i="11"/>
  <c r="M468" i="11"/>
  <c r="G468" i="11"/>
  <c r="F468" i="11"/>
  <c r="E468" i="11"/>
  <c r="D468" i="11"/>
  <c r="C468" i="11"/>
  <c r="B468" i="11"/>
  <c r="P466" i="11"/>
  <c r="O466" i="11"/>
  <c r="N466" i="11"/>
  <c r="M466" i="11"/>
  <c r="P465" i="11"/>
  <c r="O465" i="11"/>
  <c r="N465" i="11"/>
  <c r="M465" i="11"/>
  <c r="P464" i="11"/>
  <c r="O464" i="11"/>
  <c r="N464" i="11"/>
  <c r="M464" i="11"/>
  <c r="P463" i="11"/>
  <c r="O463" i="11"/>
  <c r="N463" i="11"/>
  <c r="M463" i="11"/>
  <c r="P462" i="11"/>
  <c r="O462" i="11"/>
  <c r="N462" i="11"/>
  <c r="M462" i="11"/>
  <c r="P461" i="11"/>
  <c r="O461" i="11"/>
  <c r="N461" i="11"/>
  <c r="M461" i="11"/>
  <c r="P460" i="11"/>
  <c r="O460" i="11"/>
  <c r="N460" i="11"/>
  <c r="M460" i="11"/>
  <c r="P459" i="11"/>
  <c r="O459" i="11"/>
  <c r="N459" i="11"/>
  <c r="M459" i="11"/>
  <c r="P458" i="11"/>
  <c r="O458" i="11"/>
  <c r="N458" i="11"/>
  <c r="M458" i="11"/>
  <c r="P457" i="11"/>
  <c r="O457" i="11"/>
  <c r="N457" i="11"/>
  <c r="M457" i="11"/>
  <c r="P453" i="11"/>
  <c r="O453" i="11"/>
  <c r="N453" i="11"/>
  <c r="M453" i="11"/>
  <c r="G453" i="11"/>
  <c r="F453" i="11"/>
  <c r="E453" i="11"/>
  <c r="D453" i="11"/>
  <c r="C453" i="11"/>
  <c r="B453" i="11"/>
  <c r="P451" i="11"/>
  <c r="O451" i="11"/>
  <c r="N451" i="11"/>
  <c r="M451" i="11"/>
  <c r="P450" i="11"/>
  <c r="O450" i="11"/>
  <c r="N450" i="11"/>
  <c r="M450" i="11"/>
  <c r="P449" i="11"/>
  <c r="O449" i="11"/>
  <c r="N449" i="11"/>
  <c r="M449" i="11"/>
  <c r="P448" i="11"/>
  <c r="O448" i="11"/>
  <c r="N448" i="11"/>
  <c r="M448" i="11"/>
  <c r="P447" i="11"/>
  <c r="O447" i="11"/>
  <c r="N447" i="11"/>
  <c r="M447" i="11"/>
  <c r="P446" i="11"/>
  <c r="O446" i="11"/>
  <c r="N446" i="11"/>
  <c r="M446" i="11"/>
  <c r="P445" i="11"/>
  <c r="O445" i="11"/>
  <c r="N445" i="11"/>
  <c r="M445" i="11"/>
  <c r="P444" i="11"/>
  <c r="O444" i="11"/>
  <c r="N444" i="11"/>
  <c r="M444" i="11"/>
  <c r="P443" i="11"/>
  <c r="O443" i="11"/>
  <c r="N443" i="11"/>
  <c r="M443" i="11"/>
  <c r="P442" i="11"/>
  <c r="O442" i="11"/>
  <c r="N442" i="11"/>
  <c r="M442" i="11"/>
  <c r="P438" i="11"/>
  <c r="O438" i="11"/>
  <c r="N438" i="11"/>
  <c r="M438" i="11"/>
  <c r="G438" i="11"/>
  <c r="F438" i="11"/>
  <c r="E438" i="11"/>
  <c r="D438" i="11"/>
  <c r="C438" i="11"/>
  <c r="B438" i="11"/>
  <c r="P436" i="11"/>
  <c r="O436" i="11"/>
  <c r="N436" i="11"/>
  <c r="M436" i="11"/>
  <c r="P435" i="11"/>
  <c r="O435" i="11"/>
  <c r="N435" i="11"/>
  <c r="M435" i="11"/>
  <c r="P434" i="11"/>
  <c r="O434" i="11"/>
  <c r="N434" i="11"/>
  <c r="M434" i="11"/>
  <c r="P433" i="11"/>
  <c r="O433" i="11"/>
  <c r="N433" i="11"/>
  <c r="M433" i="11"/>
  <c r="P432" i="11"/>
  <c r="O432" i="11"/>
  <c r="N432" i="11"/>
  <c r="M432" i="11"/>
  <c r="P431" i="11"/>
  <c r="O431" i="11"/>
  <c r="N431" i="11"/>
  <c r="M431" i="11"/>
  <c r="P430" i="11"/>
  <c r="O430" i="11"/>
  <c r="N430" i="11"/>
  <c r="M430" i="11"/>
  <c r="P429" i="11"/>
  <c r="O429" i="11"/>
  <c r="N429" i="11"/>
  <c r="M429" i="11"/>
  <c r="P428" i="11"/>
  <c r="O428" i="11"/>
  <c r="N428" i="11"/>
  <c r="M428" i="11"/>
  <c r="P427" i="11"/>
  <c r="O427" i="11"/>
  <c r="N427" i="11"/>
  <c r="M427" i="11"/>
  <c r="P423" i="11"/>
  <c r="O423" i="11"/>
  <c r="N423" i="11"/>
  <c r="M423" i="11"/>
  <c r="G423" i="11"/>
  <c r="F423" i="11"/>
  <c r="E423" i="11"/>
  <c r="D423" i="11"/>
  <c r="C423" i="11"/>
  <c r="B423" i="11"/>
  <c r="P421" i="11"/>
  <c r="O421" i="11"/>
  <c r="N421" i="11"/>
  <c r="M421" i="11"/>
  <c r="P420" i="11"/>
  <c r="O420" i="11"/>
  <c r="N420" i="11"/>
  <c r="M420" i="11"/>
  <c r="P419" i="11"/>
  <c r="O419" i="11"/>
  <c r="N419" i="11"/>
  <c r="M419" i="11"/>
  <c r="P418" i="11"/>
  <c r="O418" i="11"/>
  <c r="N418" i="11"/>
  <c r="M418" i="11"/>
  <c r="P417" i="11"/>
  <c r="O417" i="11"/>
  <c r="N417" i="11"/>
  <c r="M417" i="11"/>
  <c r="P416" i="11"/>
  <c r="O416" i="11"/>
  <c r="N416" i="11"/>
  <c r="M416" i="11"/>
  <c r="P415" i="11"/>
  <c r="O415" i="11"/>
  <c r="N415" i="11"/>
  <c r="M415" i="11"/>
  <c r="P414" i="11"/>
  <c r="O414" i="11"/>
  <c r="N414" i="11"/>
  <c r="M414" i="11"/>
  <c r="P413" i="11"/>
  <c r="O413" i="11"/>
  <c r="N413" i="11"/>
  <c r="M413" i="11"/>
  <c r="P412" i="11"/>
  <c r="O412" i="11"/>
  <c r="N412" i="11"/>
  <c r="M412" i="11"/>
  <c r="P408" i="11"/>
  <c r="O408" i="11"/>
  <c r="N408" i="11"/>
  <c r="M408" i="11"/>
  <c r="F408" i="11"/>
  <c r="D408" i="11"/>
  <c r="B408" i="11"/>
  <c r="P406" i="11"/>
  <c r="O406" i="11"/>
  <c r="N406" i="11"/>
  <c r="M406" i="11"/>
  <c r="G406" i="11"/>
  <c r="E406" i="11"/>
  <c r="C406" i="11"/>
  <c r="P405" i="11"/>
  <c r="O405" i="11"/>
  <c r="N405" i="11"/>
  <c r="M405" i="11"/>
  <c r="G405" i="11"/>
  <c r="E405" i="11"/>
  <c r="C405" i="11"/>
  <c r="P404" i="11"/>
  <c r="O404" i="11"/>
  <c r="N404" i="11"/>
  <c r="M404" i="11"/>
  <c r="G404" i="11"/>
  <c r="E404" i="11"/>
  <c r="C404" i="11"/>
  <c r="P403" i="11"/>
  <c r="O403" i="11"/>
  <c r="N403" i="11"/>
  <c r="M403" i="11"/>
  <c r="G403" i="11"/>
  <c r="E403" i="11"/>
  <c r="C403" i="11"/>
  <c r="P402" i="11"/>
  <c r="O402" i="11"/>
  <c r="N402" i="11"/>
  <c r="M402" i="11"/>
  <c r="G402" i="11"/>
  <c r="E402" i="11"/>
  <c r="C402" i="11"/>
  <c r="P401" i="11"/>
  <c r="O401" i="11"/>
  <c r="N401" i="11"/>
  <c r="M401" i="11"/>
  <c r="G401" i="11"/>
  <c r="E401" i="11"/>
  <c r="C401" i="11"/>
  <c r="P400" i="11"/>
  <c r="O400" i="11"/>
  <c r="N400" i="11"/>
  <c r="M400" i="11"/>
  <c r="G400" i="11"/>
  <c r="E400" i="11"/>
  <c r="C400" i="11"/>
  <c r="P399" i="11"/>
  <c r="O399" i="11"/>
  <c r="N399" i="11"/>
  <c r="M399" i="11"/>
  <c r="G399" i="11"/>
  <c r="E399" i="11"/>
  <c r="C399" i="11"/>
  <c r="P398" i="11"/>
  <c r="O398" i="11"/>
  <c r="N398" i="11"/>
  <c r="M398" i="11"/>
  <c r="G398" i="11"/>
  <c r="E398" i="11"/>
  <c r="C398" i="11"/>
  <c r="P397" i="11"/>
  <c r="O397" i="11"/>
  <c r="N397" i="11"/>
  <c r="M397" i="11"/>
  <c r="G397" i="11"/>
  <c r="E397" i="11"/>
  <c r="C397" i="11"/>
  <c r="P390" i="11"/>
  <c r="O390" i="11"/>
  <c r="N390" i="11"/>
  <c r="M390" i="11"/>
  <c r="G390" i="11"/>
  <c r="F390" i="11"/>
  <c r="E390" i="11"/>
  <c r="D390" i="11"/>
  <c r="C390" i="11"/>
  <c r="B390" i="11"/>
  <c r="P388" i="11"/>
  <c r="O388" i="11"/>
  <c r="N388" i="11"/>
  <c r="M388" i="11"/>
  <c r="P387" i="11"/>
  <c r="O387" i="11"/>
  <c r="N387" i="11"/>
  <c r="M387" i="11"/>
  <c r="P386" i="11"/>
  <c r="O386" i="11"/>
  <c r="N386" i="11"/>
  <c r="M386" i="11"/>
  <c r="P385" i="11"/>
  <c r="O385" i="11"/>
  <c r="N385" i="11"/>
  <c r="M385" i="11"/>
  <c r="P384" i="11"/>
  <c r="O384" i="11"/>
  <c r="N384" i="11"/>
  <c r="M384" i="11"/>
  <c r="P383" i="11"/>
  <c r="O383" i="11"/>
  <c r="N383" i="11"/>
  <c r="M383" i="11"/>
  <c r="P382" i="11"/>
  <c r="O382" i="11"/>
  <c r="N382" i="11"/>
  <c r="M382" i="11"/>
  <c r="P381" i="11"/>
  <c r="O381" i="11"/>
  <c r="N381" i="11"/>
  <c r="M381" i="11"/>
  <c r="P380" i="11"/>
  <c r="O380" i="11"/>
  <c r="N380" i="11"/>
  <c r="M380" i="11"/>
  <c r="P379" i="11"/>
  <c r="O379" i="11"/>
  <c r="N379" i="11"/>
  <c r="M379" i="11"/>
  <c r="P375" i="11"/>
  <c r="O375" i="11"/>
  <c r="N375" i="11"/>
  <c r="M375" i="11"/>
  <c r="G375" i="11"/>
  <c r="F375" i="11"/>
  <c r="E375" i="11"/>
  <c r="D375" i="11"/>
  <c r="C375" i="11"/>
  <c r="B375" i="11"/>
  <c r="P373" i="11"/>
  <c r="O373" i="11"/>
  <c r="N373" i="11"/>
  <c r="M373" i="11"/>
  <c r="P372" i="11"/>
  <c r="O372" i="11"/>
  <c r="N372" i="11"/>
  <c r="M372" i="11"/>
  <c r="P371" i="11"/>
  <c r="O371" i="11"/>
  <c r="N371" i="11"/>
  <c r="M371" i="11"/>
  <c r="P370" i="11"/>
  <c r="O370" i="11"/>
  <c r="N370" i="11"/>
  <c r="M370" i="11"/>
  <c r="P369" i="11"/>
  <c r="O369" i="11"/>
  <c r="N369" i="11"/>
  <c r="M369" i="11"/>
  <c r="P368" i="11"/>
  <c r="O368" i="11"/>
  <c r="N368" i="11"/>
  <c r="M368" i="11"/>
  <c r="P367" i="11"/>
  <c r="O367" i="11"/>
  <c r="N367" i="11"/>
  <c r="M367" i="11"/>
  <c r="P366" i="11"/>
  <c r="O366" i="11"/>
  <c r="N366" i="11"/>
  <c r="M366" i="11"/>
  <c r="P365" i="11"/>
  <c r="O365" i="11"/>
  <c r="N365" i="11"/>
  <c r="M365" i="11"/>
  <c r="P364" i="11"/>
  <c r="O364" i="11"/>
  <c r="N364" i="11"/>
  <c r="M364" i="11"/>
  <c r="P360" i="11"/>
  <c r="O360" i="11"/>
  <c r="N360" i="11"/>
  <c r="M360" i="11"/>
  <c r="G360" i="11"/>
  <c r="F360" i="11"/>
  <c r="E360" i="11"/>
  <c r="D360" i="11"/>
  <c r="C360" i="11"/>
  <c r="B360" i="11"/>
  <c r="P358" i="11"/>
  <c r="O358" i="11"/>
  <c r="N358" i="11"/>
  <c r="M358" i="11"/>
  <c r="P357" i="11"/>
  <c r="O357" i="11"/>
  <c r="N357" i="11"/>
  <c r="M357" i="11"/>
  <c r="P356" i="11"/>
  <c r="O356" i="11"/>
  <c r="N356" i="11"/>
  <c r="M356" i="11"/>
  <c r="P355" i="11"/>
  <c r="O355" i="11"/>
  <c r="N355" i="11"/>
  <c r="M355" i="11"/>
  <c r="P354" i="11"/>
  <c r="O354" i="11"/>
  <c r="N354" i="11"/>
  <c r="M354" i="11"/>
  <c r="P353" i="11"/>
  <c r="O353" i="11"/>
  <c r="N353" i="11"/>
  <c r="M353" i="11"/>
  <c r="P352" i="11"/>
  <c r="O352" i="11"/>
  <c r="N352" i="11"/>
  <c r="M352" i="11"/>
  <c r="P351" i="11"/>
  <c r="O351" i="11"/>
  <c r="N351" i="11"/>
  <c r="M351" i="11"/>
  <c r="P350" i="11"/>
  <c r="O350" i="11"/>
  <c r="N350" i="11"/>
  <c r="M350" i="11"/>
  <c r="P349" i="11"/>
  <c r="O349" i="11"/>
  <c r="N349" i="11"/>
  <c r="M349" i="11"/>
  <c r="P345" i="11"/>
  <c r="O345" i="11"/>
  <c r="N345" i="11"/>
  <c r="M345" i="11"/>
  <c r="G345" i="11"/>
  <c r="F345" i="11"/>
  <c r="E345" i="11"/>
  <c r="D345" i="11"/>
  <c r="C345" i="11"/>
  <c r="B345" i="11"/>
  <c r="P343" i="11"/>
  <c r="O343" i="11"/>
  <c r="N343" i="11"/>
  <c r="M343" i="11"/>
  <c r="P342" i="11"/>
  <c r="O342" i="11"/>
  <c r="N342" i="11"/>
  <c r="M342" i="11"/>
  <c r="P341" i="11"/>
  <c r="O341" i="11"/>
  <c r="N341" i="11"/>
  <c r="M341" i="11"/>
  <c r="P340" i="11"/>
  <c r="O340" i="11"/>
  <c r="N340" i="11"/>
  <c r="M340" i="11"/>
  <c r="P339" i="11"/>
  <c r="O339" i="11"/>
  <c r="N339" i="11"/>
  <c r="M339" i="11"/>
  <c r="P338" i="11"/>
  <c r="O338" i="11"/>
  <c r="N338" i="11"/>
  <c r="M338" i="11"/>
  <c r="P337" i="11"/>
  <c r="O337" i="11"/>
  <c r="N337" i="11"/>
  <c r="M337" i="11"/>
  <c r="P336" i="11"/>
  <c r="O336" i="11"/>
  <c r="N336" i="11"/>
  <c r="M336" i="11"/>
  <c r="P335" i="11"/>
  <c r="O335" i="11"/>
  <c r="N335" i="11"/>
  <c r="M335" i="11"/>
  <c r="P334" i="11"/>
  <c r="O334" i="11"/>
  <c r="N334" i="11"/>
  <c r="M334" i="11"/>
  <c r="P330" i="11"/>
  <c r="O330" i="11"/>
  <c r="N330" i="11"/>
  <c r="M330" i="11"/>
  <c r="F330" i="11"/>
  <c r="D330" i="11"/>
  <c r="B330" i="11"/>
  <c r="P328" i="11"/>
  <c r="O328" i="11"/>
  <c r="N328" i="11"/>
  <c r="M328" i="11"/>
  <c r="G328" i="11"/>
  <c r="E328" i="11"/>
  <c r="C328" i="11"/>
  <c r="P327" i="11"/>
  <c r="O327" i="11"/>
  <c r="N327" i="11"/>
  <c r="M327" i="11"/>
  <c r="G327" i="11"/>
  <c r="E327" i="11"/>
  <c r="C327" i="11"/>
  <c r="P326" i="11"/>
  <c r="O326" i="11"/>
  <c r="N326" i="11"/>
  <c r="M326" i="11"/>
  <c r="G326" i="11"/>
  <c r="E326" i="11"/>
  <c r="C326" i="11"/>
  <c r="P325" i="11"/>
  <c r="O325" i="11"/>
  <c r="N325" i="11"/>
  <c r="M325" i="11"/>
  <c r="G325" i="11"/>
  <c r="E325" i="11"/>
  <c r="C325" i="11"/>
  <c r="P324" i="11"/>
  <c r="O324" i="11"/>
  <c r="N324" i="11"/>
  <c r="M324" i="11"/>
  <c r="G324" i="11"/>
  <c r="E324" i="11"/>
  <c r="C324" i="11"/>
  <c r="P323" i="11"/>
  <c r="O323" i="11"/>
  <c r="N323" i="11"/>
  <c r="M323" i="11"/>
  <c r="G323" i="11"/>
  <c r="E323" i="11"/>
  <c r="C323" i="11"/>
  <c r="P322" i="11"/>
  <c r="O322" i="11"/>
  <c r="N322" i="11"/>
  <c r="M322" i="11"/>
  <c r="G322" i="11"/>
  <c r="E322" i="11"/>
  <c r="C322" i="11"/>
  <c r="P321" i="11"/>
  <c r="O321" i="11"/>
  <c r="N321" i="11"/>
  <c r="M321" i="11"/>
  <c r="G321" i="11"/>
  <c r="E321" i="11"/>
  <c r="C321" i="11"/>
  <c r="P320" i="11"/>
  <c r="O320" i="11"/>
  <c r="N320" i="11"/>
  <c r="M320" i="11"/>
  <c r="G320" i="11"/>
  <c r="E320" i="11"/>
  <c r="C320" i="11"/>
  <c r="P319" i="11"/>
  <c r="O319" i="11"/>
  <c r="N319" i="11"/>
  <c r="M319" i="11"/>
  <c r="G319" i="11"/>
  <c r="E319" i="11"/>
  <c r="C319" i="11"/>
  <c r="P312" i="11"/>
  <c r="O312" i="11"/>
  <c r="N312" i="11"/>
  <c r="M312" i="11"/>
  <c r="G312" i="11"/>
  <c r="F312" i="11"/>
  <c r="E312" i="11"/>
  <c r="D312" i="11"/>
  <c r="C312" i="11"/>
  <c r="B312" i="11"/>
  <c r="P310" i="11"/>
  <c r="O310" i="11"/>
  <c r="N310" i="11"/>
  <c r="M310" i="11"/>
  <c r="P309" i="11"/>
  <c r="O309" i="11"/>
  <c r="N309" i="11"/>
  <c r="M309" i="11"/>
  <c r="P308" i="11"/>
  <c r="O308" i="11"/>
  <c r="N308" i="11"/>
  <c r="M308" i="11"/>
  <c r="P307" i="11"/>
  <c r="O307" i="11"/>
  <c r="N307" i="11"/>
  <c r="M307" i="11"/>
  <c r="P306" i="11"/>
  <c r="O306" i="11"/>
  <c r="N306" i="11"/>
  <c r="M306" i="11"/>
  <c r="P305" i="11"/>
  <c r="O305" i="11"/>
  <c r="N305" i="11"/>
  <c r="M305" i="11"/>
  <c r="P304" i="11"/>
  <c r="O304" i="11"/>
  <c r="N304" i="11"/>
  <c r="M304" i="11"/>
  <c r="P303" i="11"/>
  <c r="O303" i="11"/>
  <c r="N303" i="11"/>
  <c r="M303" i="11"/>
  <c r="P302" i="11"/>
  <c r="O302" i="11"/>
  <c r="N302" i="11"/>
  <c r="M302" i="11"/>
  <c r="P301" i="11"/>
  <c r="O301" i="11"/>
  <c r="N301" i="11"/>
  <c r="M301" i="11"/>
  <c r="P297" i="11"/>
  <c r="O297" i="11"/>
  <c r="N297" i="11"/>
  <c r="M297" i="11"/>
  <c r="G297" i="11"/>
  <c r="F297" i="11"/>
  <c r="E297" i="11"/>
  <c r="D297" i="11"/>
  <c r="C297" i="11"/>
  <c r="B297" i="11"/>
  <c r="P295" i="11"/>
  <c r="O295" i="11"/>
  <c r="N295" i="11"/>
  <c r="M295" i="11"/>
  <c r="P294" i="11"/>
  <c r="O294" i="11"/>
  <c r="N294" i="11"/>
  <c r="M294" i="11"/>
  <c r="P293" i="11"/>
  <c r="O293" i="11"/>
  <c r="N293" i="11"/>
  <c r="M293" i="11"/>
  <c r="P292" i="11"/>
  <c r="O292" i="11"/>
  <c r="N292" i="11"/>
  <c r="M292" i="11"/>
  <c r="P291" i="11"/>
  <c r="O291" i="11"/>
  <c r="N291" i="11"/>
  <c r="M291" i="11"/>
  <c r="P290" i="11"/>
  <c r="O290" i="11"/>
  <c r="N290" i="11"/>
  <c r="M290" i="11"/>
  <c r="P289" i="11"/>
  <c r="O289" i="11"/>
  <c r="N289" i="11"/>
  <c r="M289" i="11"/>
  <c r="P288" i="11"/>
  <c r="O288" i="11"/>
  <c r="N288" i="11"/>
  <c r="M288" i="11"/>
  <c r="P287" i="11"/>
  <c r="O287" i="11"/>
  <c r="N287" i="11"/>
  <c r="M287" i="11"/>
  <c r="P286" i="11"/>
  <c r="O286" i="11"/>
  <c r="N286" i="11"/>
  <c r="M286" i="11"/>
  <c r="P282" i="11"/>
  <c r="O282" i="11"/>
  <c r="N282" i="11"/>
  <c r="M282" i="11"/>
  <c r="G282" i="11"/>
  <c r="F282" i="11"/>
  <c r="E282" i="11"/>
  <c r="D282" i="11"/>
  <c r="C282" i="11"/>
  <c r="B282" i="11"/>
  <c r="P280" i="11"/>
  <c r="O280" i="11"/>
  <c r="N280" i="11"/>
  <c r="M280" i="11"/>
  <c r="P279" i="11"/>
  <c r="O279" i="11"/>
  <c r="N279" i="11"/>
  <c r="M279" i="11"/>
  <c r="P278" i="11"/>
  <c r="O278" i="11"/>
  <c r="N278" i="11"/>
  <c r="M278" i="11"/>
  <c r="P277" i="11"/>
  <c r="O277" i="11"/>
  <c r="N277" i="11"/>
  <c r="M277" i="11"/>
  <c r="P276" i="11"/>
  <c r="O276" i="11"/>
  <c r="N276" i="11"/>
  <c r="M276" i="11"/>
  <c r="P275" i="11"/>
  <c r="O275" i="11"/>
  <c r="N275" i="11"/>
  <c r="M275" i="11"/>
  <c r="P274" i="11"/>
  <c r="O274" i="11"/>
  <c r="N274" i="11"/>
  <c r="M274" i="11"/>
  <c r="P273" i="11"/>
  <c r="O273" i="11"/>
  <c r="N273" i="11"/>
  <c r="M273" i="11"/>
  <c r="P272" i="11"/>
  <c r="O272" i="11"/>
  <c r="N272" i="11"/>
  <c r="M272" i="11"/>
  <c r="P271" i="11"/>
  <c r="O271" i="11"/>
  <c r="N271" i="11"/>
  <c r="M271" i="11"/>
  <c r="P267" i="11"/>
  <c r="O267" i="11"/>
  <c r="N267" i="11"/>
  <c r="M267" i="11"/>
  <c r="G267" i="11"/>
  <c r="F267" i="11"/>
  <c r="E267" i="11"/>
  <c r="D267" i="11"/>
  <c r="C267" i="11"/>
  <c r="B267" i="11"/>
  <c r="P265" i="11"/>
  <c r="O265" i="11"/>
  <c r="N265" i="11"/>
  <c r="M265" i="11"/>
  <c r="P264" i="11"/>
  <c r="O264" i="11"/>
  <c r="N264" i="11"/>
  <c r="M264" i="11"/>
  <c r="P263" i="11"/>
  <c r="O263" i="11"/>
  <c r="N263" i="11"/>
  <c r="M263" i="11"/>
  <c r="P262" i="11"/>
  <c r="O262" i="11"/>
  <c r="N262" i="11"/>
  <c r="M262" i="11"/>
  <c r="P261" i="11"/>
  <c r="O261" i="11"/>
  <c r="N261" i="11"/>
  <c r="M261" i="11"/>
  <c r="P260" i="11"/>
  <c r="O260" i="11"/>
  <c r="N260" i="11"/>
  <c r="M260" i="11"/>
  <c r="P259" i="11"/>
  <c r="O259" i="11"/>
  <c r="N259" i="11"/>
  <c r="M259" i="11"/>
  <c r="P258" i="11"/>
  <c r="O258" i="11"/>
  <c r="N258" i="11"/>
  <c r="M258" i="11"/>
  <c r="P257" i="11"/>
  <c r="O257" i="11"/>
  <c r="N257" i="11"/>
  <c r="M257" i="11"/>
  <c r="O256" i="11"/>
  <c r="N256" i="11"/>
  <c r="M256" i="11"/>
  <c r="K256" i="11"/>
  <c r="P252" i="11"/>
  <c r="O252" i="11"/>
  <c r="N252" i="11"/>
  <c r="M252" i="11"/>
  <c r="F252" i="11"/>
  <c r="D252" i="11"/>
  <c r="B252" i="11"/>
  <c r="P250" i="11"/>
  <c r="O250" i="11"/>
  <c r="N250" i="11"/>
  <c r="M250" i="11"/>
  <c r="G250" i="11"/>
  <c r="E250" i="11"/>
  <c r="C250" i="11"/>
  <c r="P249" i="11"/>
  <c r="O249" i="11"/>
  <c r="N249" i="11"/>
  <c r="M249" i="11"/>
  <c r="G249" i="11"/>
  <c r="E249" i="11"/>
  <c r="C249" i="11"/>
  <c r="P248" i="11"/>
  <c r="O248" i="11"/>
  <c r="N248" i="11"/>
  <c r="M248" i="11"/>
  <c r="G248" i="11"/>
  <c r="E248" i="11"/>
  <c r="C248" i="11"/>
  <c r="P247" i="11"/>
  <c r="O247" i="11"/>
  <c r="N247" i="11"/>
  <c r="M247" i="11"/>
  <c r="G247" i="11"/>
  <c r="E247" i="11"/>
  <c r="C247" i="11"/>
  <c r="P246" i="11"/>
  <c r="O246" i="11"/>
  <c r="N246" i="11"/>
  <c r="M246" i="11"/>
  <c r="G246" i="11"/>
  <c r="E246" i="11"/>
  <c r="C246" i="11"/>
  <c r="P245" i="11"/>
  <c r="O245" i="11"/>
  <c r="N245" i="11"/>
  <c r="M245" i="11"/>
  <c r="G245" i="11"/>
  <c r="E245" i="11"/>
  <c r="C245" i="11"/>
  <c r="P244" i="11"/>
  <c r="O244" i="11"/>
  <c r="N244" i="11"/>
  <c r="M244" i="11"/>
  <c r="G244" i="11"/>
  <c r="E244" i="11"/>
  <c r="C244" i="11"/>
  <c r="P243" i="11"/>
  <c r="O243" i="11"/>
  <c r="N243" i="11"/>
  <c r="M243" i="11"/>
  <c r="G243" i="11"/>
  <c r="E243" i="11"/>
  <c r="C243" i="11"/>
  <c r="P242" i="11"/>
  <c r="O242" i="11"/>
  <c r="N242" i="11"/>
  <c r="M242" i="11"/>
  <c r="G242" i="11"/>
  <c r="E242" i="11"/>
  <c r="C242" i="11"/>
  <c r="O241" i="11"/>
  <c r="N241" i="11"/>
  <c r="M241" i="11"/>
  <c r="K241" i="11"/>
  <c r="P241" i="11" s="1"/>
  <c r="G241" i="11"/>
  <c r="E241" i="11"/>
  <c r="C241" i="11"/>
  <c r="P235" i="11"/>
  <c r="O235" i="11"/>
  <c r="N235" i="11"/>
  <c r="M235" i="11"/>
  <c r="G235" i="11"/>
  <c r="F235" i="11"/>
  <c r="E235" i="11"/>
  <c r="D235" i="11"/>
  <c r="C235" i="11"/>
  <c r="B235" i="11"/>
  <c r="P233" i="11"/>
  <c r="O233" i="11"/>
  <c r="N233" i="11"/>
  <c r="M233" i="11"/>
  <c r="P232" i="11"/>
  <c r="O232" i="11"/>
  <c r="N232" i="11"/>
  <c r="M232" i="11"/>
  <c r="P231" i="11"/>
  <c r="O231" i="11"/>
  <c r="N231" i="11"/>
  <c r="M231" i="11"/>
  <c r="P230" i="11"/>
  <c r="O230" i="11"/>
  <c r="N230" i="11"/>
  <c r="M230" i="11"/>
  <c r="P229" i="11"/>
  <c r="O229" i="11"/>
  <c r="N229" i="11"/>
  <c r="M229" i="11"/>
  <c r="P228" i="11"/>
  <c r="O228" i="11"/>
  <c r="N228" i="11"/>
  <c r="M228" i="11"/>
  <c r="P227" i="11"/>
  <c r="O227" i="11"/>
  <c r="N227" i="11"/>
  <c r="M227" i="11"/>
  <c r="P226" i="11"/>
  <c r="O226" i="11"/>
  <c r="N226" i="11"/>
  <c r="M226" i="11"/>
  <c r="P225" i="11"/>
  <c r="O225" i="11"/>
  <c r="N225" i="11"/>
  <c r="M225" i="11"/>
  <c r="P224" i="11"/>
  <c r="O224" i="11"/>
  <c r="N224" i="11"/>
  <c r="M224" i="11"/>
  <c r="P220" i="11"/>
  <c r="O220" i="11"/>
  <c r="N220" i="11"/>
  <c r="M220" i="11"/>
  <c r="G220" i="11"/>
  <c r="F220" i="11"/>
  <c r="E220" i="11"/>
  <c r="D220" i="11"/>
  <c r="C220" i="11"/>
  <c r="B220" i="11"/>
  <c r="P218" i="11"/>
  <c r="O218" i="11"/>
  <c r="N218" i="11"/>
  <c r="M218" i="11"/>
  <c r="P217" i="11"/>
  <c r="O217" i="11"/>
  <c r="N217" i="11"/>
  <c r="M217" i="11"/>
  <c r="P216" i="11"/>
  <c r="O216" i="11"/>
  <c r="N216" i="11"/>
  <c r="M216" i="11"/>
  <c r="P215" i="11"/>
  <c r="O215" i="11"/>
  <c r="N215" i="11"/>
  <c r="M215" i="11"/>
  <c r="P214" i="11"/>
  <c r="O214" i="11"/>
  <c r="N214" i="11"/>
  <c r="M214" i="11"/>
  <c r="P213" i="11"/>
  <c r="O213" i="11"/>
  <c r="N213" i="11"/>
  <c r="M213" i="11"/>
  <c r="P212" i="11"/>
  <c r="O212" i="11"/>
  <c r="N212" i="11"/>
  <c r="M212" i="11"/>
  <c r="P211" i="11"/>
  <c r="O211" i="11"/>
  <c r="N211" i="11"/>
  <c r="M211" i="11"/>
  <c r="P210" i="11"/>
  <c r="O210" i="11"/>
  <c r="N210" i="11"/>
  <c r="M210" i="11"/>
  <c r="P209" i="11"/>
  <c r="O209" i="11"/>
  <c r="N209" i="11"/>
  <c r="M209" i="11"/>
  <c r="P205" i="11"/>
  <c r="O205" i="11"/>
  <c r="N205" i="11"/>
  <c r="M205" i="11"/>
  <c r="G205" i="11"/>
  <c r="F205" i="11"/>
  <c r="E205" i="11"/>
  <c r="D205" i="11"/>
  <c r="C205" i="11"/>
  <c r="B205" i="11"/>
  <c r="P203" i="11"/>
  <c r="O203" i="11"/>
  <c r="N203" i="11"/>
  <c r="M203" i="11"/>
  <c r="P202" i="11"/>
  <c r="O202" i="11"/>
  <c r="N202" i="11"/>
  <c r="M202" i="11"/>
  <c r="P201" i="11"/>
  <c r="O201" i="11"/>
  <c r="N201" i="11"/>
  <c r="M201" i="11"/>
  <c r="P200" i="11"/>
  <c r="O200" i="11"/>
  <c r="N200" i="11"/>
  <c r="M200" i="11"/>
  <c r="P199" i="11"/>
  <c r="O199" i="11"/>
  <c r="N199" i="11"/>
  <c r="M199" i="11"/>
  <c r="P198" i="11"/>
  <c r="O198" i="11"/>
  <c r="N198" i="11"/>
  <c r="M198" i="11"/>
  <c r="P197" i="11"/>
  <c r="O197" i="11"/>
  <c r="N197" i="11"/>
  <c r="M197" i="11"/>
  <c r="P196" i="11"/>
  <c r="O196" i="11"/>
  <c r="N196" i="11"/>
  <c r="M196" i="11"/>
  <c r="P195" i="11"/>
  <c r="O195" i="11"/>
  <c r="N195" i="11"/>
  <c r="M195" i="11"/>
  <c r="P194" i="11"/>
  <c r="O194" i="11"/>
  <c r="N194" i="11"/>
  <c r="M194" i="11"/>
  <c r="P190" i="11"/>
  <c r="O190" i="11"/>
  <c r="N190" i="11"/>
  <c r="M190" i="11"/>
  <c r="G190" i="11"/>
  <c r="F190" i="11"/>
  <c r="E190" i="11"/>
  <c r="D190" i="11"/>
  <c r="C190" i="11"/>
  <c r="B190" i="11"/>
  <c r="P188" i="11"/>
  <c r="O188" i="11"/>
  <c r="N188" i="11"/>
  <c r="M188" i="11"/>
  <c r="P187" i="11"/>
  <c r="O187" i="11"/>
  <c r="N187" i="11"/>
  <c r="M187" i="11"/>
  <c r="P186" i="11"/>
  <c r="O186" i="11"/>
  <c r="N186" i="11"/>
  <c r="M186" i="11"/>
  <c r="P185" i="11"/>
  <c r="O185" i="11"/>
  <c r="N185" i="11"/>
  <c r="M185" i="11"/>
  <c r="P184" i="11"/>
  <c r="O184" i="11"/>
  <c r="N184" i="11"/>
  <c r="M184" i="11"/>
  <c r="P183" i="11"/>
  <c r="O183" i="11"/>
  <c r="N183" i="11"/>
  <c r="M183" i="11"/>
  <c r="P182" i="11"/>
  <c r="O182" i="11"/>
  <c r="N182" i="11"/>
  <c r="M182" i="11"/>
  <c r="P181" i="11"/>
  <c r="O181" i="11"/>
  <c r="N181" i="11"/>
  <c r="M181" i="11"/>
  <c r="P180" i="11"/>
  <c r="O180" i="11"/>
  <c r="N180" i="11"/>
  <c r="M180" i="11"/>
  <c r="P179" i="11"/>
  <c r="O179" i="11"/>
  <c r="N179" i="11"/>
  <c r="M179" i="11"/>
  <c r="P175" i="11"/>
  <c r="O175" i="11"/>
  <c r="N175" i="11"/>
  <c r="M175" i="11"/>
  <c r="F175" i="11"/>
  <c r="D175" i="11"/>
  <c r="B175" i="11"/>
  <c r="P173" i="11"/>
  <c r="O173" i="11"/>
  <c r="N173" i="11"/>
  <c r="M173" i="11"/>
  <c r="G173" i="11"/>
  <c r="E173" i="11"/>
  <c r="C173" i="11"/>
  <c r="P172" i="11"/>
  <c r="O172" i="11"/>
  <c r="N172" i="11"/>
  <c r="M172" i="11"/>
  <c r="G172" i="11"/>
  <c r="E172" i="11"/>
  <c r="C172" i="11"/>
  <c r="P171" i="11"/>
  <c r="O171" i="11"/>
  <c r="N171" i="11"/>
  <c r="M171" i="11"/>
  <c r="G171" i="11"/>
  <c r="E171" i="11"/>
  <c r="C171" i="11"/>
  <c r="P170" i="11"/>
  <c r="O170" i="11"/>
  <c r="N170" i="11"/>
  <c r="M170" i="11"/>
  <c r="G170" i="11"/>
  <c r="E170" i="11"/>
  <c r="C170" i="11"/>
  <c r="P169" i="11"/>
  <c r="O169" i="11"/>
  <c r="N169" i="11"/>
  <c r="M169" i="11"/>
  <c r="G169" i="11"/>
  <c r="E169" i="11"/>
  <c r="C169" i="11"/>
  <c r="P168" i="11"/>
  <c r="O168" i="11"/>
  <c r="N168" i="11"/>
  <c r="M168" i="11"/>
  <c r="G168" i="11"/>
  <c r="E168" i="11"/>
  <c r="C168" i="11"/>
  <c r="P167" i="11"/>
  <c r="O167" i="11"/>
  <c r="N167" i="11"/>
  <c r="M167" i="11"/>
  <c r="G167" i="11"/>
  <c r="E167" i="11"/>
  <c r="C167" i="11"/>
  <c r="P166" i="11"/>
  <c r="O166" i="11"/>
  <c r="N166" i="11"/>
  <c r="M166" i="11"/>
  <c r="G166" i="11"/>
  <c r="E166" i="11"/>
  <c r="C166" i="11"/>
  <c r="P165" i="11"/>
  <c r="O165" i="11"/>
  <c r="N165" i="11"/>
  <c r="M165" i="11"/>
  <c r="G165" i="11"/>
  <c r="E165" i="11"/>
  <c r="C165" i="11"/>
  <c r="P164" i="11"/>
  <c r="O164" i="11"/>
  <c r="N164" i="11"/>
  <c r="M164" i="11"/>
  <c r="G164" i="11"/>
  <c r="E164" i="11"/>
  <c r="C164" i="11"/>
  <c r="P158" i="11"/>
  <c r="O158" i="11"/>
  <c r="N158" i="11"/>
  <c r="M158" i="11"/>
  <c r="G158" i="11"/>
  <c r="F158" i="11"/>
  <c r="E158" i="11"/>
  <c r="D158" i="11"/>
  <c r="C158" i="11"/>
  <c r="B158" i="11"/>
  <c r="P156" i="11"/>
  <c r="O156" i="11"/>
  <c r="N156" i="11"/>
  <c r="M156" i="11"/>
  <c r="P155" i="11"/>
  <c r="O155" i="11"/>
  <c r="N155" i="11"/>
  <c r="M155" i="11"/>
  <c r="P154" i="11"/>
  <c r="O154" i="11"/>
  <c r="N154" i="11"/>
  <c r="M154" i="11"/>
  <c r="P153" i="11"/>
  <c r="O153" i="11"/>
  <c r="N153" i="11"/>
  <c r="M153" i="11"/>
  <c r="P152" i="11"/>
  <c r="O152" i="11"/>
  <c r="N152" i="11"/>
  <c r="M152" i="11"/>
  <c r="P151" i="11"/>
  <c r="O151" i="11"/>
  <c r="N151" i="11"/>
  <c r="M151" i="11"/>
  <c r="P150" i="11"/>
  <c r="O150" i="11"/>
  <c r="N150" i="11"/>
  <c r="M150" i="11"/>
  <c r="P149" i="11"/>
  <c r="O149" i="11"/>
  <c r="N149" i="11"/>
  <c r="M149" i="11"/>
  <c r="P148" i="11"/>
  <c r="O148" i="11"/>
  <c r="N148" i="11"/>
  <c r="M148" i="11"/>
  <c r="P147" i="11"/>
  <c r="O147" i="11"/>
  <c r="N147" i="11"/>
  <c r="M147" i="11"/>
  <c r="P143" i="11"/>
  <c r="O143" i="11"/>
  <c r="N143" i="11"/>
  <c r="M143" i="11"/>
  <c r="G143" i="11"/>
  <c r="F143" i="11"/>
  <c r="E143" i="11"/>
  <c r="D143" i="11"/>
  <c r="C143" i="11"/>
  <c r="B143" i="11"/>
  <c r="P141" i="11"/>
  <c r="O141" i="11"/>
  <c r="N141" i="11"/>
  <c r="M141" i="11"/>
  <c r="P140" i="11"/>
  <c r="O140" i="11"/>
  <c r="N140" i="11"/>
  <c r="M140" i="11"/>
  <c r="P139" i="11"/>
  <c r="O139" i="11"/>
  <c r="N139" i="11"/>
  <c r="M139" i="11"/>
  <c r="P138" i="11"/>
  <c r="O138" i="11"/>
  <c r="N138" i="11"/>
  <c r="M138" i="11"/>
  <c r="P137" i="11"/>
  <c r="O137" i="11"/>
  <c r="N137" i="11"/>
  <c r="M137" i="11"/>
  <c r="P136" i="11"/>
  <c r="O136" i="11"/>
  <c r="N136" i="11"/>
  <c r="M136" i="11"/>
  <c r="P135" i="11"/>
  <c r="O135" i="11"/>
  <c r="N135" i="11"/>
  <c r="M135" i="11"/>
  <c r="P134" i="11"/>
  <c r="O134" i="11"/>
  <c r="N134" i="11"/>
  <c r="M134" i="11"/>
  <c r="P133" i="11"/>
  <c r="O133" i="11"/>
  <c r="N133" i="11"/>
  <c r="M133" i="11"/>
  <c r="P132" i="11"/>
  <c r="O132" i="11"/>
  <c r="N132" i="11"/>
  <c r="M132" i="11"/>
  <c r="P128" i="11"/>
  <c r="O128" i="11"/>
  <c r="N128" i="11"/>
  <c r="M128" i="11"/>
  <c r="G128" i="11"/>
  <c r="F128" i="11"/>
  <c r="E128" i="11"/>
  <c r="D128" i="11"/>
  <c r="C128" i="11"/>
  <c r="B128" i="11"/>
  <c r="P126" i="11"/>
  <c r="O126" i="11"/>
  <c r="N126" i="11"/>
  <c r="M126" i="11"/>
  <c r="P125" i="11"/>
  <c r="O125" i="11"/>
  <c r="N125" i="11"/>
  <c r="M125" i="11"/>
  <c r="P124" i="11"/>
  <c r="O124" i="11"/>
  <c r="N124" i="11"/>
  <c r="M124" i="11"/>
  <c r="P123" i="11"/>
  <c r="O123" i="11"/>
  <c r="N123" i="11"/>
  <c r="M123" i="11"/>
  <c r="P122" i="11"/>
  <c r="O122" i="11"/>
  <c r="N122" i="11"/>
  <c r="M122" i="11"/>
  <c r="P121" i="11"/>
  <c r="O121" i="11"/>
  <c r="N121" i="11"/>
  <c r="M121" i="11"/>
  <c r="P120" i="11"/>
  <c r="O120" i="11"/>
  <c r="N120" i="11"/>
  <c r="M120" i="11"/>
  <c r="P119" i="11"/>
  <c r="O119" i="11"/>
  <c r="N119" i="11"/>
  <c r="M119" i="11"/>
  <c r="P118" i="11"/>
  <c r="O118" i="11"/>
  <c r="N118" i="11"/>
  <c r="M118" i="11"/>
  <c r="P117" i="11"/>
  <c r="O117" i="11"/>
  <c r="N117" i="11"/>
  <c r="M117" i="11"/>
  <c r="O113" i="11"/>
  <c r="N113" i="11"/>
  <c r="M113" i="11"/>
  <c r="G113" i="11"/>
  <c r="F113" i="11"/>
  <c r="E113" i="11"/>
  <c r="D113" i="11"/>
  <c r="C113" i="11"/>
  <c r="B113" i="11"/>
  <c r="P111" i="11"/>
  <c r="O111" i="11"/>
  <c r="N111" i="11"/>
  <c r="M111" i="11"/>
  <c r="P110" i="11"/>
  <c r="O110" i="11"/>
  <c r="N110" i="11"/>
  <c r="M110" i="11"/>
  <c r="P109" i="11"/>
  <c r="O109" i="11"/>
  <c r="N109" i="11"/>
  <c r="M109" i="11"/>
  <c r="P108" i="11"/>
  <c r="O108" i="11"/>
  <c r="N108" i="11"/>
  <c r="M108" i="11"/>
  <c r="P107" i="11"/>
  <c r="O107" i="11"/>
  <c r="N107" i="11"/>
  <c r="M107" i="11"/>
  <c r="P106" i="11"/>
  <c r="O106" i="11"/>
  <c r="N106" i="11"/>
  <c r="M106" i="11"/>
  <c r="P105" i="11"/>
  <c r="O105" i="11"/>
  <c r="N105" i="11"/>
  <c r="M105" i="11"/>
  <c r="P104" i="11"/>
  <c r="O104" i="11"/>
  <c r="N104" i="11"/>
  <c r="M104" i="11"/>
  <c r="P103" i="11"/>
  <c r="O103" i="11"/>
  <c r="N103" i="11"/>
  <c r="M103" i="11"/>
  <c r="O102" i="11"/>
  <c r="N102" i="11"/>
  <c r="M102" i="11"/>
  <c r="K102" i="11"/>
  <c r="P102" i="11" s="1"/>
  <c r="P98" i="11"/>
  <c r="O98" i="11"/>
  <c r="N98" i="11"/>
  <c r="M98" i="11"/>
  <c r="F98" i="11"/>
  <c r="D98" i="11"/>
  <c r="B98" i="11"/>
  <c r="P96" i="11"/>
  <c r="O96" i="11"/>
  <c r="N96" i="11"/>
  <c r="M96" i="11"/>
  <c r="G96" i="11"/>
  <c r="E96" i="11"/>
  <c r="C96" i="11"/>
  <c r="P95" i="11"/>
  <c r="O95" i="11"/>
  <c r="N95" i="11"/>
  <c r="M95" i="11"/>
  <c r="G95" i="11"/>
  <c r="E95" i="11"/>
  <c r="C95" i="11"/>
  <c r="P94" i="11"/>
  <c r="O94" i="11"/>
  <c r="N94" i="11"/>
  <c r="M94" i="11"/>
  <c r="G94" i="11"/>
  <c r="E94" i="11"/>
  <c r="C94" i="11"/>
  <c r="P93" i="11"/>
  <c r="O93" i="11"/>
  <c r="N93" i="11"/>
  <c r="M93" i="11"/>
  <c r="G93" i="11"/>
  <c r="E93" i="11"/>
  <c r="C93" i="11"/>
  <c r="P92" i="11"/>
  <c r="O92" i="11"/>
  <c r="N92" i="11"/>
  <c r="M92" i="11"/>
  <c r="G92" i="11"/>
  <c r="E92" i="11"/>
  <c r="C92" i="11"/>
  <c r="P91" i="11"/>
  <c r="O91" i="11"/>
  <c r="N91" i="11"/>
  <c r="M91" i="11"/>
  <c r="G91" i="11"/>
  <c r="E91" i="11"/>
  <c r="C91" i="11"/>
  <c r="P90" i="11"/>
  <c r="O90" i="11"/>
  <c r="N90" i="11"/>
  <c r="M90" i="11"/>
  <c r="G90" i="11"/>
  <c r="E90" i="11"/>
  <c r="C90" i="11"/>
  <c r="P89" i="11"/>
  <c r="O89" i="11"/>
  <c r="N89" i="11"/>
  <c r="M89" i="11"/>
  <c r="G89" i="11"/>
  <c r="E89" i="11"/>
  <c r="C89" i="11"/>
  <c r="P88" i="11"/>
  <c r="O88" i="11"/>
  <c r="N88" i="11"/>
  <c r="M88" i="11"/>
  <c r="G88" i="11"/>
  <c r="E88" i="11"/>
  <c r="C88" i="11"/>
  <c r="O87" i="11"/>
  <c r="N87" i="11"/>
  <c r="M87" i="11"/>
  <c r="K87" i="11"/>
  <c r="G87" i="11"/>
  <c r="E87" i="11"/>
  <c r="C87" i="11"/>
  <c r="H80" i="11"/>
  <c r="M80" i="11" s="1"/>
  <c r="F80" i="11"/>
  <c r="D80" i="11"/>
  <c r="B80" i="11"/>
  <c r="M78" i="11"/>
  <c r="M77" i="11"/>
  <c r="M76" i="11"/>
  <c r="M75" i="11"/>
  <c r="M74" i="11"/>
  <c r="M73" i="11"/>
  <c r="M72" i="11"/>
  <c r="M71" i="11"/>
  <c r="M70" i="11"/>
  <c r="M69" i="11"/>
  <c r="H65" i="11"/>
  <c r="M65" i="11" s="1"/>
  <c r="F65" i="11"/>
  <c r="D65" i="11"/>
  <c r="B65" i="11"/>
  <c r="M63" i="11"/>
  <c r="M62" i="11"/>
  <c r="M61" i="11"/>
  <c r="M60" i="11"/>
  <c r="M59" i="11"/>
  <c r="M58" i="11"/>
  <c r="M57" i="11"/>
  <c r="M56" i="11"/>
  <c r="M55" i="11"/>
  <c r="M54" i="11"/>
  <c r="H50" i="11"/>
  <c r="M50" i="11" s="1"/>
  <c r="F50" i="11"/>
  <c r="D50" i="11"/>
  <c r="B50" i="11"/>
  <c r="M48" i="11"/>
  <c r="M47" i="11"/>
  <c r="M46" i="11"/>
  <c r="M45" i="11"/>
  <c r="M44" i="11"/>
  <c r="M43" i="11"/>
  <c r="M42" i="11"/>
  <c r="M41" i="11"/>
  <c r="M40" i="11"/>
  <c r="M39" i="11"/>
  <c r="D13" i="10"/>
  <c r="J13" i="10" s="1"/>
  <c r="C13" i="10"/>
  <c r="I13" i="10" s="1"/>
  <c r="B13" i="10"/>
  <c r="H13" i="10" s="1"/>
  <c r="J11" i="10"/>
  <c r="I11" i="10"/>
  <c r="H11" i="10"/>
  <c r="L10" i="10"/>
  <c r="K10" i="10"/>
  <c r="J10" i="10"/>
  <c r="I10" i="10"/>
  <c r="H10" i="10"/>
  <c r="J9" i="10"/>
  <c r="I9" i="10"/>
  <c r="H9" i="10"/>
  <c r="E9" i="10"/>
  <c r="K9" i="10" s="1"/>
  <c r="L8" i="10"/>
  <c r="J8" i="10"/>
  <c r="I8" i="10"/>
  <c r="H8" i="10"/>
  <c r="K8" i="10"/>
  <c r="J7" i="10"/>
  <c r="I7" i="10"/>
  <c r="H7" i="10"/>
  <c r="E7" i="10"/>
  <c r="F6" i="10"/>
  <c r="E6" i="10"/>
  <c r="C6" i="10"/>
  <c r="B6" i="10"/>
  <c r="F4" i="10"/>
  <c r="F9" i="10" s="1"/>
  <c r="L9" i="10" s="1"/>
  <c r="A1" i="10"/>
  <c r="C84" i="9"/>
  <c r="L80" i="9"/>
  <c r="K80" i="9"/>
  <c r="J80" i="9"/>
  <c r="I80" i="9"/>
  <c r="H80" i="9"/>
  <c r="K79" i="9"/>
  <c r="J79" i="9"/>
  <c r="I79" i="9"/>
  <c r="H79" i="9"/>
  <c r="F79" i="9"/>
  <c r="L79" i="9" s="1"/>
  <c r="D76" i="9"/>
  <c r="J76" i="9" s="1"/>
  <c r="C76" i="9"/>
  <c r="I76" i="9" s="1"/>
  <c r="B76" i="9"/>
  <c r="H76" i="9" s="1"/>
  <c r="D75" i="9"/>
  <c r="J75" i="9" s="1"/>
  <c r="C75" i="9"/>
  <c r="I75" i="9" s="1"/>
  <c r="B75" i="9"/>
  <c r="H75" i="9" s="1"/>
  <c r="D74" i="9"/>
  <c r="J74" i="9" s="1"/>
  <c r="C74" i="9"/>
  <c r="I74" i="9" s="1"/>
  <c r="B74" i="9"/>
  <c r="H74" i="9" s="1"/>
  <c r="D73" i="9"/>
  <c r="D78" i="9" s="1"/>
  <c r="J78" i="9" s="1"/>
  <c r="C73" i="9"/>
  <c r="I73" i="9" s="1"/>
  <c r="B73" i="9"/>
  <c r="H73" i="9" s="1"/>
  <c r="K71" i="9"/>
  <c r="J71" i="9"/>
  <c r="I71" i="9"/>
  <c r="H71" i="9"/>
  <c r="L71" i="9"/>
  <c r="K70" i="9"/>
  <c r="J70" i="9"/>
  <c r="I70" i="9"/>
  <c r="H70" i="9"/>
  <c r="L70" i="9"/>
  <c r="K69" i="9"/>
  <c r="J69" i="9"/>
  <c r="I69" i="9"/>
  <c r="H69" i="9"/>
  <c r="L69" i="9"/>
  <c r="K68" i="9"/>
  <c r="J68" i="9"/>
  <c r="I68" i="9"/>
  <c r="H68" i="9"/>
  <c r="L68" i="9"/>
  <c r="I66" i="9"/>
  <c r="D66" i="9"/>
  <c r="J66" i="9" s="1"/>
  <c r="C66" i="9"/>
  <c r="B66" i="9"/>
  <c r="H66" i="9" s="1"/>
  <c r="J64" i="9"/>
  <c r="I64" i="9"/>
  <c r="H64" i="9"/>
  <c r="E64" i="9"/>
  <c r="J63" i="9"/>
  <c r="I63" i="9"/>
  <c r="H63" i="9"/>
  <c r="E63" i="9"/>
  <c r="E75" i="9" s="1"/>
  <c r="K75" i="9" s="1"/>
  <c r="J62" i="9"/>
  <c r="I62" i="9"/>
  <c r="H62" i="9"/>
  <c r="E62" i="9"/>
  <c r="J61" i="9"/>
  <c r="I61" i="9"/>
  <c r="H61" i="9"/>
  <c r="E61" i="9"/>
  <c r="E56" i="9"/>
  <c r="K56" i="9" s="1"/>
  <c r="D56" i="9"/>
  <c r="J56" i="9" s="1"/>
  <c r="C56" i="9"/>
  <c r="I56" i="9" s="1"/>
  <c r="B56" i="9"/>
  <c r="H56" i="9" s="1"/>
  <c r="E55" i="9"/>
  <c r="K55" i="9" s="1"/>
  <c r="D55" i="9"/>
  <c r="J55" i="9" s="1"/>
  <c r="C55" i="9"/>
  <c r="I55" i="9" s="1"/>
  <c r="B55" i="9"/>
  <c r="H55" i="9" s="1"/>
  <c r="K54" i="9"/>
  <c r="E54" i="9"/>
  <c r="D54" i="9"/>
  <c r="J54" i="9" s="1"/>
  <c r="C54" i="9"/>
  <c r="I54" i="9" s="1"/>
  <c r="B54" i="9"/>
  <c r="H54" i="9" s="1"/>
  <c r="E53" i="9"/>
  <c r="K53" i="9" s="1"/>
  <c r="D53" i="9"/>
  <c r="J53" i="9" s="1"/>
  <c r="C53" i="9"/>
  <c r="I53" i="9" s="1"/>
  <c r="B53" i="9"/>
  <c r="H53" i="9" s="1"/>
  <c r="E52" i="9"/>
  <c r="K52" i="9" s="1"/>
  <c r="D52" i="9"/>
  <c r="J52" i="9" s="1"/>
  <c r="C52" i="9"/>
  <c r="I52" i="9" s="1"/>
  <c r="B52" i="9"/>
  <c r="H52" i="9" s="1"/>
  <c r="E51" i="9"/>
  <c r="K51" i="9" s="1"/>
  <c r="D51" i="9"/>
  <c r="J51" i="9" s="1"/>
  <c r="C51" i="9"/>
  <c r="I51" i="9" s="1"/>
  <c r="B51" i="9"/>
  <c r="H51" i="9" s="1"/>
  <c r="I50" i="9"/>
  <c r="E50" i="9"/>
  <c r="K50" i="9" s="1"/>
  <c r="D50" i="9"/>
  <c r="J50" i="9" s="1"/>
  <c r="C50" i="9"/>
  <c r="B50" i="9"/>
  <c r="H50" i="9" s="1"/>
  <c r="J49" i="9"/>
  <c r="E49" i="9"/>
  <c r="K49" i="9" s="1"/>
  <c r="D49" i="9"/>
  <c r="C49" i="9"/>
  <c r="I49" i="9" s="1"/>
  <c r="B49" i="9"/>
  <c r="H49" i="9" s="1"/>
  <c r="E48" i="9"/>
  <c r="K48" i="9" s="1"/>
  <c r="D48" i="9"/>
  <c r="J48" i="9" s="1"/>
  <c r="C48" i="9"/>
  <c r="I48" i="9" s="1"/>
  <c r="B48" i="9"/>
  <c r="H48" i="9" s="1"/>
  <c r="L47" i="9"/>
  <c r="K47" i="9"/>
  <c r="J47" i="9"/>
  <c r="I47" i="9"/>
  <c r="H47" i="9"/>
  <c r="E46" i="9"/>
  <c r="K46" i="9" s="1"/>
  <c r="D46" i="9"/>
  <c r="J46" i="9" s="1"/>
  <c r="C46" i="9"/>
  <c r="I46" i="9" s="1"/>
  <c r="B46" i="9"/>
  <c r="H46" i="9" s="1"/>
  <c r="E45" i="9"/>
  <c r="K45" i="9" s="1"/>
  <c r="D45" i="9"/>
  <c r="J45" i="9" s="1"/>
  <c r="C45" i="9"/>
  <c r="I45" i="9" s="1"/>
  <c r="B45" i="9"/>
  <c r="H45" i="9" s="1"/>
  <c r="J44" i="9"/>
  <c r="E44" i="9"/>
  <c r="K44" i="9" s="1"/>
  <c r="D44" i="9"/>
  <c r="C44" i="9"/>
  <c r="I44" i="9" s="1"/>
  <c r="B44" i="9"/>
  <c r="H44" i="9" s="1"/>
  <c r="F43" i="9"/>
  <c r="L43" i="9" s="1"/>
  <c r="D43" i="9"/>
  <c r="J43" i="9" s="1"/>
  <c r="C43" i="9"/>
  <c r="I43" i="9" s="1"/>
  <c r="B43" i="9"/>
  <c r="H43" i="9" s="1"/>
  <c r="D42" i="9"/>
  <c r="J42" i="9" s="1"/>
  <c r="C42" i="9"/>
  <c r="I42" i="9" s="1"/>
  <c r="B42" i="9"/>
  <c r="H42" i="9" s="1"/>
  <c r="K40" i="9"/>
  <c r="J40" i="9"/>
  <c r="I40" i="9"/>
  <c r="H40" i="9"/>
  <c r="L40" i="9"/>
  <c r="K39" i="9"/>
  <c r="J39" i="9"/>
  <c r="I39" i="9"/>
  <c r="H39" i="9"/>
  <c r="K38" i="9"/>
  <c r="J38" i="9"/>
  <c r="I38" i="9"/>
  <c r="H38" i="9"/>
  <c r="L38" i="9"/>
  <c r="K37" i="9"/>
  <c r="J37" i="9"/>
  <c r="I37" i="9"/>
  <c r="H37" i="9"/>
  <c r="K36" i="9"/>
  <c r="J36" i="9"/>
  <c r="I36" i="9"/>
  <c r="H36" i="9"/>
  <c r="L36" i="9"/>
  <c r="K35" i="9"/>
  <c r="J35" i="9"/>
  <c r="I35" i="9"/>
  <c r="H35" i="9"/>
  <c r="K34" i="9"/>
  <c r="J34" i="9"/>
  <c r="I34" i="9"/>
  <c r="H34" i="9"/>
  <c r="L34" i="9"/>
  <c r="K33" i="9"/>
  <c r="J33" i="9"/>
  <c r="I33" i="9"/>
  <c r="H33" i="9"/>
  <c r="K32" i="9"/>
  <c r="J32" i="9"/>
  <c r="I32" i="9"/>
  <c r="H32" i="9"/>
  <c r="L32" i="9"/>
  <c r="K31" i="9"/>
  <c r="J31" i="9"/>
  <c r="I31" i="9"/>
  <c r="H31" i="9"/>
  <c r="L31" i="9"/>
  <c r="K30" i="9"/>
  <c r="J30" i="9"/>
  <c r="I30" i="9"/>
  <c r="H30" i="9"/>
  <c r="K29" i="9"/>
  <c r="J29" i="9"/>
  <c r="I29" i="9"/>
  <c r="H29" i="9"/>
  <c r="L29" i="9"/>
  <c r="K28" i="9"/>
  <c r="J28" i="9"/>
  <c r="I28" i="9"/>
  <c r="H28" i="9"/>
  <c r="K27" i="9"/>
  <c r="J27" i="9"/>
  <c r="I27" i="9"/>
  <c r="H27" i="9"/>
  <c r="L27" i="9"/>
  <c r="K26" i="9"/>
  <c r="J26" i="9"/>
  <c r="I26" i="9"/>
  <c r="H26" i="9"/>
  <c r="L26" i="9"/>
  <c r="D24" i="9"/>
  <c r="J24" i="9" s="1"/>
  <c r="C24" i="9"/>
  <c r="I24" i="9" s="1"/>
  <c r="B24" i="9"/>
  <c r="H24" i="9" s="1"/>
  <c r="L22" i="9"/>
  <c r="K22" i="9"/>
  <c r="J22" i="9"/>
  <c r="I22" i="9"/>
  <c r="H22" i="9"/>
  <c r="L21" i="9"/>
  <c r="K21" i="9"/>
  <c r="J21" i="9"/>
  <c r="I21" i="9"/>
  <c r="H21" i="9"/>
  <c r="L20" i="9"/>
  <c r="K20" i="9"/>
  <c r="J20" i="9"/>
  <c r="I20" i="9"/>
  <c r="H20" i="9"/>
  <c r="L19" i="9"/>
  <c r="K19" i="9"/>
  <c r="J19" i="9"/>
  <c r="I19" i="9"/>
  <c r="H19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L14" i="9"/>
  <c r="K14" i="9"/>
  <c r="J14" i="9"/>
  <c r="I14" i="9"/>
  <c r="H14" i="9"/>
  <c r="K13" i="9"/>
  <c r="J13" i="9"/>
  <c r="I13" i="9"/>
  <c r="H13" i="9"/>
  <c r="L13" i="9"/>
  <c r="L12" i="9"/>
  <c r="K12" i="9"/>
  <c r="J12" i="9"/>
  <c r="I12" i="9"/>
  <c r="H12" i="9"/>
  <c r="L11" i="9"/>
  <c r="K11" i="9"/>
  <c r="J11" i="9"/>
  <c r="I11" i="9"/>
  <c r="H11" i="9"/>
  <c r="L10" i="9"/>
  <c r="K10" i="9"/>
  <c r="J10" i="9"/>
  <c r="I10" i="9"/>
  <c r="H10" i="9"/>
  <c r="K9" i="9"/>
  <c r="J9" i="9"/>
  <c r="I9" i="9"/>
  <c r="H9" i="9"/>
  <c r="L9" i="9"/>
  <c r="E43" i="9"/>
  <c r="K43" i="9" s="1"/>
  <c r="L8" i="9"/>
  <c r="J8" i="9"/>
  <c r="I8" i="9"/>
  <c r="H8" i="9"/>
  <c r="A1" i="9"/>
  <c r="C23" i="8"/>
  <c r="C25" i="8" s="1"/>
  <c r="F25" i="8" s="1"/>
  <c r="F22" i="8"/>
  <c r="E22" i="8"/>
  <c r="F17" i="8"/>
  <c r="B17" i="8"/>
  <c r="E17" i="8" s="1"/>
  <c r="E16" i="8"/>
  <c r="C15" i="8"/>
  <c r="F15" i="8" s="1"/>
  <c r="E14" i="8"/>
  <c r="E11" i="8"/>
  <c r="C11" i="8"/>
  <c r="C16" i="8" s="1"/>
  <c r="F16" i="8" s="1"/>
  <c r="B11" i="8"/>
  <c r="F9" i="8"/>
  <c r="E9" i="8"/>
  <c r="F8" i="8"/>
  <c r="E8" i="8"/>
  <c r="A1" i="8"/>
  <c r="E32" i="7"/>
  <c r="K32" i="7" s="1"/>
  <c r="D32" i="7"/>
  <c r="J32" i="7" s="1"/>
  <c r="C32" i="7"/>
  <c r="I32" i="7" s="1"/>
  <c r="B32" i="7"/>
  <c r="H32" i="7" s="1"/>
  <c r="K20" i="7"/>
  <c r="J20" i="7"/>
  <c r="I20" i="7"/>
  <c r="H20" i="7"/>
  <c r="K18" i="7"/>
  <c r="J18" i="7"/>
  <c r="I18" i="7"/>
  <c r="H18" i="7"/>
  <c r="F18" i="7"/>
  <c r="L18" i="7" s="1"/>
  <c r="E16" i="7"/>
  <c r="E30" i="7" s="1"/>
  <c r="K30" i="7" s="1"/>
  <c r="D16" i="7"/>
  <c r="J16" i="7" s="1"/>
  <c r="C16" i="7"/>
  <c r="C30" i="7" s="1"/>
  <c r="I30" i="7" s="1"/>
  <c r="B16" i="7"/>
  <c r="H16" i="7" s="1"/>
  <c r="E15" i="7"/>
  <c r="K15" i="7" s="1"/>
  <c r="D15" i="7"/>
  <c r="C15" i="7"/>
  <c r="I15" i="7" s="1"/>
  <c r="B15" i="7"/>
  <c r="E13" i="7"/>
  <c r="K13" i="7" s="1"/>
  <c r="D13" i="7"/>
  <c r="D27" i="7" s="1"/>
  <c r="J27" i="7" s="1"/>
  <c r="C13" i="7"/>
  <c r="I13" i="7" s="1"/>
  <c r="B13" i="7"/>
  <c r="B27" i="7" s="1"/>
  <c r="H27" i="7" s="1"/>
  <c r="E11" i="7"/>
  <c r="K11" i="7" s="1"/>
  <c r="D11" i="7"/>
  <c r="D25" i="7" s="1"/>
  <c r="J25" i="7" s="1"/>
  <c r="C11" i="7"/>
  <c r="I11" i="7" s="1"/>
  <c r="B11" i="7"/>
  <c r="B25" i="7" s="1"/>
  <c r="H25" i="7" s="1"/>
  <c r="E10" i="7"/>
  <c r="D10" i="7"/>
  <c r="D24" i="7" s="1"/>
  <c r="J24" i="7" s="1"/>
  <c r="C10" i="7"/>
  <c r="B10" i="7"/>
  <c r="B24" i="7" s="1"/>
  <c r="H24" i="7" s="1"/>
  <c r="AD60" i="6"/>
  <c r="AB60" i="6"/>
  <c r="Z60" i="6"/>
  <c r="Y60" i="6"/>
  <c r="X60" i="6"/>
  <c r="W60" i="6"/>
  <c r="AC60" i="6"/>
  <c r="AA60" i="6"/>
  <c r="P60" i="6"/>
  <c r="L60" i="6"/>
  <c r="AD59" i="6"/>
  <c r="AC59" i="6"/>
  <c r="AB59" i="6"/>
  <c r="AA59" i="6"/>
  <c r="Z59" i="6"/>
  <c r="Y59" i="6"/>
  <c r="X59" i="6"/>
  <c r="W59" i="6"/>
  <c r="X58" i="6"/>
  <c r="W58" i="6"/>
  <c r="AB58" i="6"/>
  <c r="Q58" i="6"/>
  <c r="Z58" i="6" s="1"/>
  <c r="P58" i="6"/>
  <c r="Y58" i="6" s="1"/>
  <c r="M58" i="6"/>
  <c r="L58" i="6"/>
  <c r="I58" i="6"/>
  <c r="H58" i="6"/>
  <c r="E58" i="6"/>
  <c r="D58" i="6"/>
  <c r="X56" i="6"/>
  <c r="W56" i="6"/>
  <c r="AA56" i="6"/>
  <c r="Q56" i="6"/>
  <c r="Z56" i="6" s="1"/>
  <c r="P56" i="6"/>
  <c r="Y56" i="6" s="1"/>
  <c r="M56" i="6"/>
  <c r="L56" i="6"/>
  <c r="I56" i="6"/>
  <c r="H56" i="6"/>
  <c r="E56" i="6"/>
  <c r="D56" i="6"/>
  <c r="N54" i="6"/>
  <c r="N57" i="6" s="1"/>
  <c r="K54" i="6"/>
  <c r="K57" i="6" s="1"/>
  <c r="J54" i="6"/>
  <c r="J57" i="6" s="1"/>
  <c r="G54" i="6"/>
  <c r="F54" i="6"/>
  <c r="I54" i="6" s="1"/>
  <c r="D54" i="6"/>
  <c r="C54" i="6"/>
  <c r="C57" i="6" s="1"/>
  <c r="B54" i="6"/>
  <c r="W53" i="6"/>
  <c r="Q53" i="6"/>
  <c r="Z53" i="6" s="1"/>
  <c r="M53" i="6"/>
  <c r="L53" i="6"/>
  <c r="I53" i="6"/>
  <c r="H53" i="6"/>
  <c r="E53" i="6"/>
  <c r="D53" i="6"/>
  <c r="W52" i="6"/>
  <c r="AB52" i="6"/>
  <c r="P52" i="6"/>
  <c r="Y52" i="6" s="1"/>
  <c r="M52" i="6"/>
  <c r="L52" i="6"/>
  <c r="I52" i="6"/>
  <c r="H52" i="6"/>
  <c r="E52" i="6"/>
  <c r="D52" i="6"/>
  <c r="X51" i="6"/>
  <c r="W51" i="6"/>
  <c r="Q51" i="6"/>
  <c r="Z51" i="6" s="1"/>
  <c r="P51" i="6"/>
  <c r="Y51" i="6" s="1"/>
  <c r="M51" i="6"/>
  <c r="L51" i="6"/>
  <c r="I51" i="6"/>
  <c r="H51" i="6"/>
  <c r="E51" i="6"/>
  <c r="D51" i="6"/>
  <c r="W50" i="6"/>
  <c r="Q50" i="6"/>
  <c r="Z50" i="6" s="1"/>
  <c r="M50" i="6"/>
  <c r="L50" i="6"/>
  <c r="I50" i="6"/>
  <c r="H50" i="6"/>
  <c r="E50" i="6"/>
  <c r="D50" i="6"/>
  <c r="O46" i="6"/>
  <c r="X46" i="6" s="1"/>
  <c r="N46" i="6"/>
  <c r="Q46" i="6" s="1"/>
  <c r="Z46" i="6" s="1"/>
  <c r="K46" i="6"/>
  <c r="J46" i="6"/>
  <c r="M46" i="6" s="1"/>
  <c r="G46" i="6"/>
  <c r="F46" i="6"/>
  <c r="C46" i="6"/>
  <c r="B46" i="6"/>
  <c r="X45" i="6"/>
  <c r="W45" i="6"/>
  <c r="Q45" i="6"/>
  <c r="Z45" i="6" s="1"/>
  <c r="P45" i="6"/>
  <c r="Y45" i="6" s="1"/>
  <c r="M45" i="6"/>
  <c r="L45" i="6"/>
  <c r="I45" i="6"/>
  <c r="H45" i="6"/>
  <c r="E45" i="6"/>
  <c r="D45" i="6"/>
  <c r="X44" i="6"/>
  <c r="W44" i="6"/>
  <c r="AA44" i="6"/>
  <c r="Q44" i="6"/>
  <c r="Z44" i="6" s="1"/>
  <c r="P44" i="6"/>
  <c r="Y44" i="6" s="1"/>
  <c r="M44" i="6"/>
  <c r="L44" i="6"/>
  <c r="I44" i="6"/>
  <c r="H44" i="6"/>
  <c r="E44" i="6"/>
  <c r="D44" i="6"/>
  <c r="X43" i="6"/>
  <c r="W43" i="6"/>
  <c r="Q43" i="6"/>
  <c r="Z43" i="6" s="1"/>
  <c r="P43" i="6"/>
  <c r="Y43" i="6" s="1"/>
  <c r="M43" i="6"/>
  <c r="L43" i="6"/>
  <c r="I43" i="6"/>
  <c r="H43" i="6"/>
  <c r="E43" i="6"/>
  <c r="D43" i="6"/>
  <c r="X42" i="6"/>
  <c r="W42" i="6"/>
  <c r="AA42" i="6"/>
  <c r="Q42" i="6"/>
  <c r="Z42" i="6" s="1"/>
  <c r="P42" i="6"/>
  <c r="Y42" i="6" s="1"/>
  <c r="M42" i="6"/>
  <c r="L42" i="6"/>
  <c r="I42" i="6"/>
  <c r="H42" i="6"/>
  <c r="E42" i="6"/>
  <c r="D42" i="6"/>
  <c r="X41" i="6"/>
  <c r="W41" i="6"/>
  <c r="Q41" i="6"/>
  <c r="Z41" i="6" s="1"/>
  <c r="P41" i="6"/>
  <c r="Y41" i="6" s="1"/>
  <c r="M41" i="6"/>
  <c r="L41" i="6"/>
  <c r="I41" i="6"/>
  <c r="H41" i="6"/>
  <c r="E41" i="6"/>
  <c r="D41" i="6"/>
  <c r="X40" i="6"/>
  <c r="W40" i="6"/>
  <c r="Q40" i="6"/>
  <c r="Z40" i="6" s="1"/>
  <c r="P40" i="6"/>
  <c r="Y40" i="6" s="1"/>
  <c r="M40" i="6"/>
  <c r="L40" i="6"/>
  <c r="I40" i="6"/>
  <c r="H40" i="6"/>
  <c r="E40" i="6"/>
  <c r="D40" i="6"/>
  <c r="X39" i="6"/>
  <c r="W39" i="6"/>
  <c r="AA39" i="6"/>
  <c r="Q39" i="6"/>
  <c r="Z39" i="6" s="1"/>
  <c r="P39" i="6"/>
  <c r="Y39" i="6" s="1"/>
  <c r="M39" i="6"/>
  <c r="L39" i="6"/>
  <c r="I39" i="6"/>
  <c r="H39" i="6"/>
  <c r="E39" i="6"/>
  <c r="D39" i="6"/>
  <c r="X38" i="6"/>
  <c r="W38" i="6"/>
  <c r="Q38" i="6"/>
  <c r="Z38" i="6" s="1"/>
  <c r="P38" i="6"/>
  <c r="Y38" i="6" s="1"/>
  <c r="M38" i="6"/>
  <c r="L38" i="6"/>
  <c r="I38" i="6"/>
  <c r="H38" i="6"/>
  <c r="E38" i="6"/>
  <c r="D38" i="6"/>
  <c r="X37" i="6"/>
  <c r="W37" i="6"/>
  <c r="AA37" i="6"/>
  <c r="Q37" i="6"/>
  <c r="Z37" i="6" s="1"/>
  <c r="P37" i="6"/>
  <c r="Y37" i="6" s="1"/>
  <c r="M37" i="6"/>
  <c r="L37" i="6"/>
  <c r="I37" i="6"/>
  <c r="H37" i="6"/>
  <c r="E37" i="6"/>
  <c r="D37" i="6"/>
  <c r="X36" i="6"/>
  <c r="W36" i="6"/>
  <c r="Q36" i="6"/>
  <c r="Z36" i="6" s="1"/>
  <c r="P36" i="6"/>
  <c r="Y36" i="6" s="1"/>
  <c r="M36" i="6"/>
  <c r="L36" i="6"/>
  <c r="I36" i="6"/>
  <c r="H36" i="6"/>
  <c r="E36" i="6"/>
  <c r="D36" i="6"/>
  <c r="X35" i="6"/>
  <c r="W35" i="6"/>
  <c r="AA35" i="6"/>
  <c r="Q35" i="6"/>
  <c r="Z35" i="6" s="1"/>
  <c r="P35" i="6"/>
  <c r="Y35" i="6" s="1"/>
  <c r="M35" i="6"/>
  <c r="L35" i="6"/>
  <c r="I35" i="6"/>
  <c r="H35" i="6"/>
  <c r="E35" i="6"/>
  <c r="D35" i="6"/>
  <c r="N32" i="6"/>
  <c r="K32" i="6"/>
  <c r="J32" i="6"/>
  <c r="G32" i="6"/>
  <c r="F32" i="6"/>
  <c r="C32" i="6"/>
  <c r="B32" i="6"/>
  <c r="E32" i="6" s="1"/>
  <c r="AB31" i="6"/>
  <c r="X31" i="6"/>
  <c r="W31" i="6"/>
  <c r="Q31" i="6"/>
  <c r="Z31" i="6" s="1"/>
  <c r="P31" i="6"/>
  <c r="Y31" i="6" s="1"/>
  <c r="M31" i="6"/>
  <c r="L31" i="6"/>
  <c r="I31" i="6"/>
  <c r="H31" i="6"/>
  <c r="E31" i="6"/>
  <c r="D31" i="6"/>
  <c r="W30" i="6"/>
  <c r="Q30" i="6"/>
  <c r="Z30" i="6" s="1"/>
  <c r="M30" i="6"/>
  <c r="L30" i="6"/>
  <c r="I30" i="6"/>
  <c r="H30" i="6"/>
  <c r="E30" i="6"/>
  <c r="D30" i="6"/>
  <c r="W29" i="6"/>
  <c r="P29" i="6"/>
  <c r="Y29" i="6" s="1"/>
  <c r="M29" i="6"/>
  <c r="L29" i="6"/>
  <c r="I29" i="6"/>
  <c r="H29" i="6"/>
  <c r="E29" i="6"/>
  <c r="D29" i="6"/>
  <c r="W28" i="6"/>
  <c r="Q28" i="6"/>
  <c r="Z28" i="6" s="1"/>
  <c r="X28" i="6"/>
  <c r="M28" i="6"/>
  <c r="L28" i="6"/>
  <c r="I28" i="6"/>
  <c r="H28" i="6"/>
  <c r="E28" i="6"/>
  <c r="D28" i="6"/>
  <c r="W27" i="6"/>
  <c r="P27" i="6"/>
  <c r="Y27" i="6" s="1"/>
  <c r="M27" i="6"/>
  <c r="L27" i="6"/>
  <c r="I27" i="6"/>
  <c r="H27" i="6"/>
  <c r="E27" i="6"/>
  <c r="D27" i="6"/>
  <c r="O24" i="6"/>
  <c r="X24" i="6" s="1"/>
  <c r="N24" i="6"/>
  <c r="W24" i="6" s="1"/>
  <c r="K24" i="6"/>
  <c r="J24" i="6"/>
  <c r="G24" i="6"/>
  <c r="F24" i="6"/>
  <c r="H24" i="6" s="1"/>
  <c r="C24" i="6"/>
  <c r="D24" i="6" s="1"/>
  <c r="B24" i="6"/>
  <c r="X23" i="6"/>
  <c r="W23" i="6"/>
  <c r="Q23" i="6"/>
  <c r="Z23" i="6" s="1"/>
  <c r="P23" i="6"/>
  <c r="Y23" i="6" s="1"/>
  <c r="M23" i="6"/>
  <c r="L23" i="6"/>
  <c r="I23" i="6"/>
  <c r="H23" i="6"/>
  <c r="E23" i="6"/>
  <c r="D23" i="6"/>
  <c r="X22" i="6"/>
  <c r="W22" i="6"/>
  <c r="AB22" i="6"/>
  <c r="Q22" i="6"/>
  <c r="Z22" i="6" s="1"/>
  <c r="P22" i="6"/>
  <c r="Y22" i="6" s="1"/>
  <c r="M22" i="6"/>
  <c r="L22" i="6"/>
  <c r="I22" i="6"/>
  <c r="H22" i="6"/>
  <c r="E22" i="6"/>
  <c r="D22" i="6"/>
  <c r="X21" i="6"/>
  <c r="W21" i="6"/>
  <c r="Q21" i="6"/>
  <c r="Z21" i="6" s="1"/>
  <c r="P21" i="6"/>
  <c r="Y21" i="6" s="1"/>
  <c r="M21" i="6"/>
  <c r="L21" i="6"/>
  <c r="I21" i="6"/>
  <c r="H21" i="6"/>
  <c r="E21" i="6"/>
  <c r="D21" i="6"/>
  <c r="X20" i="6"/>
  <c r="W20" i="6"/>
  <c r="AB20" i="6"/>
  <c r="Q20" i="6"/>
  <c r="Z20" i="6" s="1"/>
  <c r="P20" i="6"/>
  <c r="Y20" i="6" s="1"/>
  <c r="M20" i="6"/>
  <c r="L20" i="6"/>
  <c r="I20" i="6"/>
  <c r="H20" i="6"/>
  <c r="E20" i="6"/>
  <c r="D20" i="6"/>
  <c r="AB19" i="6"/>
  <c r="X19" i="6"/>
  <c r="W19" i="6"/>
  <c r="U19" i="6"/>
  <c r="AD19" i="6" s="1"/>
  <c r="Q19" i="6"/>
  <c r="Z19" i="6" s="1"/>
  <c r="P19" i="6"/>
  <c r="Y19" i="6" s="1"/>
  <c r="M19" i="6"/>
  <c r="L19" i="6"/>
  <c r="I19" i="6"/>
  <c r="H19" i="6"/>
  <c r="E19" i="6"/>
  <c r="D19" i="6"/>
  <c r="X18" i="6"/>
  <c r="W18" i="6"/>
  <c r="AA18" i="6"/>
  <c r="Q18" i="6"/>
  <c r="Z18" i="6" s="1"/>
  <c r="P18" i="6"/>
  <c r="Y18" i="6" s="1"/>
  <c r="M18" i="6"/>
  <c r="L18" i="6"/>
  <c r="I18" i="6"/>
  <c r="H18" i="6"/>
  <c r="E18" i="6"/>
  <c r="D18" i="6"/>
  <c r="X17" i="6"/>
  <c r="W17" i="6"/>
  <c r="Q17" i="6"/>
  <c r="Z17" i="6" s="1"/>
  <c r="P17" i="6"/>
  <c r="Y17" i="6" s="1"/>
  <c r="M17" i="6"/>
  <c r="L17" i="6"/>
  <c r="I17" i="6"/>
  <c r="H17" i="6"/>
  <c r="E17" i="6"/>
  <c r="D17" i="6"/>
  <c r="S14" i="6"/>
  <c r="O14" i="6"/>
  <c r="X14" i="6" s="1"/>
  <c r="N14" i="6"/>
  <c r="W14" i="6" s="1"/>
  <c r="K14" i="6"/>
  <c r="J14" i="6"/>
  <c r="D12" i="7" s="1"/>
  <c r="D26" i="7" s="1"/>
  <c r="J26" i="7" s="1"/>
  <c r="G14" i="6"/>
  <c r="F14" i="6"/>
  <c r="I14" i="6" s="1"/>
  <c r="C14" i="6"/>
  <c r="B14" i="6"/>
  <c r="B12" i="7" s="1"/>
  <c r="H12" i="7" s="1"/>
  <c r="AB13" i="6"/>
  <c r="Y13" i="6"/>
  <c r="X13" i="6"/>
  <c r="W13" i="6"/>
  <c r="U13" i="6"/>
  <c r="AD13" i="6" s="1"/>
  <c r="Q13" i="6"/>
  <c r="Z13" i="6" s="1"/>
  <c r="P13" i="6"/>
  <c r="M13" i="6"/>
  <c r="L13" i="6"/>
  <c r="I13" i="6"/>
  <c r="H13" i="6"/>
  <c r="E13" i="6"/>
  <c r="D13" i="6"/>
  <c r="AB12" i="6"/>
  <c r="X12" i="6"/>
  <c r="W12" i="6"/>
  <c r="U12" i="6"/>
  <c r="AD12" i="6" s="1"/>
  <c r="Q12" i="6"/>
  <c r="Z12" i="6" s="1"/>
  <c r="P12" i="6"/>
  <c r="Y12" i="6" s="1"/>
  <c r="M12" i="6"/>
  <c r="L12" i="6"/>
  <c r="I12" i="6"/>
  <c r="H12" i="6"/>
  <c r="E12" i="6"/>
  <c r="D12" i="6"/>
  <c r="AB11" i="6"/>
  <c r="Z11" i="6"/>
  <c r="X11" i="6"/>
  <c r="W11" i="6"/>
  <c r="AA11" i="6"/>
  <c r="Q11" i="6"/>
  <c r="P11" i="6"/>
  <c r="Y11" i="6" s="1"/>
  <c r="M11" i="6"/>
  <c r="L11" i="6"/>
  <c r="I11" i="6"/>
  <c r="H11" i="6"/>
  <c r="E11" i="6"/>
  <c r="D11" i="6"/>
  <c r="AB10" i="6"/>
  <c r="X10" i="6"/>
  <c r="W10" i="6"/>
  <c r="AA10" i="6"/>
  <c r="Q10" i="6"/>
  <c r="Z10" i="6" s="1"/>
  <c r="P10" i="6"/>
  <c r="Y10" i="6" s="1"/>
  <c r="M10" i="6"/>
  <c r="L10" i="6"/>
  <c r="I10" i="6"/>
  <c r="H10" i="6"/>
  <c r="E10" i="6"/>
  <c r="D10" i="6"/>
  <c r="AB9" i="6"/>
  <c r="X9" i="6"/>
  <c r="W9" i="6"/>
  <c r="Q9" i="6"/>
  <c r="Z9" i="6" s="1"/>
  <c r="P9" i="6"/>
  <c r="Y9" i="6" s="1"/>
  <c r="M9" i="6"/>
  <c r="L9" i="6"/>
  <c r="I9" i="6"/>
  <c r="H9" i="6"/>
  <c r="E9" i="6"/>
  <c r="D9" i="6"/>
  <c r="J47" i="5"/>
  <c r="I47" i="5"/>
  <c r="K47" i="5"/>
  <c r="J46" i="5"/>
  <c r="I46" i="5"/>
  <c r="K46" i="5"/>
  <c r="J45" i="5"/>
  <c r="I45" i="5"/>
  <c r="F45" i="5"/>
  <c r="K45" i="5"/>
  <c r="L44" i="5"/>
  <c r="K44" i="5"/>
  <c r="J44" i="5"/>
  <c r="I44" i="5"/>
  <c r="G44" i="5"/>
  <c r="M44" i="5" s="1"/>
  <c r="K43" i="5"/>
  <c r="J43" i="5"/>
  <c r="I43" i="5"/>
  <c r="G43" i="5"/>
  <c r="M43" i="5" s="1"/>
  <c r="L42" i="5"/>
  <c r="J42" i="5"/>
  <c r="I42" i="5"/>
  <c r="M42" i="5"/>
  <c r="K42" i="5"/>
  <c r="L41" i="5"/>
  <c r="K41" i="5"/>
  <c r="J41" i="5"/>
  <c r="I41" i="5"/>
  <c r="G41" i="5"/>
  <c r="M41" i="5" s="1"/>
  <c r="L40" i="5"/>
  <c r="K40" i="5"/>
  <c r="J40" i="5"/>
  <c r="I40" i="5"/>
  <c r="G40" i="5"/>
  <c r="M40" i="5" s="1"/>
  <c r="J39" i="5"/>
  <c r="I39" i="5"/>
  <c r="F39" i="5"/>
  <c r="K39" i="5"/>
  <c r="J38" i="5"/>
  <c r="I38" i="5"/>
  <c r="M38" i="5"/>
  <c r="L38" i="5"/>
  <c r="K38" i="5"/>
  <c r="J37" i="5"/>
  <c r="I37" i="5"/>
  <c r="F37" i="5"/>
  <c r="L37" i="5" s="1"/>
  <c r="K37" i="5"/>
  <c r="L36" i="5"/>
  <c r="K36" i="5"/>
  <c r="J36" i="5"/>
  <c r="I36" i="5"/>
  <c r="G36" i="5"/>
  <c r="M36" i="5" s="1"/>
  <c r="J35" i="5"/>
  <c r="I35" i="5"/>
  <c r="K35" i="5"/>
  <c r="L34" i="5"/>
  <c r="J34" i="5"/>
  <c r="I34" i="5"/>
  <c r="G34" i="5"/>
  <c r="M34" i="5" s="1"/>
  <c r="K34" i="5"/>
  <c r="K33" i="5"/>
  <c r="J33" i="5"/>
  <c r="I33" i="5"/>
  <c r="L32" i="5"/>
  <c r="J32" i="5"/>
  <c r="I32" i="5"/>
  <c r="G32" i="5"/>
  <c r="M32" i="5" s="1"/>
  <c r="K32" i="5"/>
  <c r="J31" i="5"/>
  <c r="I31" i="5"/>
  <c r="K31" i="5"/>
  <c r="J30" i="5"/>
  <c r="I30" i="5"/>
  <c r="K30" i="5"/>
  <c r="J29" i="5"/>
  <c r="I29" i="5"/>
  <c r="G29" i="5"/>
  <c r="F29" i="5"/>
  <c r="D8" i="18"/>
  <c r="J28" i="5"/>
  <c r="I28" i="5"/>
  <c r="J27" i="5"/>
  <c r="I27" i="5"/>
  <c r="G27" i="5"/>
  <c r="M27" i="5" s="1"/>
  <c r="K27" i="5"/>
  <c r="J26" i="5"/>
  <c r="I26" i="5"/>
  <c r="K26" i="5"/>
  <c r="J25" i="5"/>
  <c r="I25" i="5"/>
  <c r="G25" i="5"/>
  <c r="M25" i="5" s="1"/>
  <c r="K25" i="5"/>
  <c r="J24" i="5"/>
  <c r="I24" i="5"/>
  <c r="K24" i="5"/>
  <c r="J23" i="5"/>
  <c r="I23" i="5"/>
  <c r="K23" i="5"/>
  <c r="J22" i="5"/>
  <c r="I22" i="5"/>
  <c r="G22" i="5"/>
  <c r="M22" i="5" s="1"/>
  <c r="K22" i="5"/>
  <c r="J21" i="5"/>
  <c r="I21" i="5"/>
  <c r="K21" i="5"/>
  <c r="J20" i="5"/>
  <c r="I20" i="5"/>
  <c r="G20" i="5"/>
  <c r="M20" i="5" s="1"/>
  <c r="K20" i="5"/>
  <c r="J19" i="5"/>
  <c r="I19" i="5"/>
  <c r="G19" i="5"/>
  <c r="M19" i="5" s="1"/>
  <c r="K19" i="5"/>
  <c r="J18" i="5"/>
  <c r="I18" i="5"/>
  <c r="K18" i="5"/>
  <c r="L17" i="5"/>
  <c r="K17" i="5"/>
  <c r="J17" i="5"/>
  <c r="I17" i="5"/>
  <c r="G17" i="5"/>
  <c r="M17" i="5" s="1"/>
  <c r="J16" i="5"/>
  <c r="I16" i="5"/>
  <c r="K16" i="5"/>
  <c r="L15" i="5"/>
  <c r="J15" i="5"/>
  <c r="I15" i="5"/>
  <c r="K15" i="5"/>
  <c r="D14" i="5"/>
  <c r="J14" i="5" s="1"/>
  <c r="C14" i="5"/>
  <c r="I14" i="5" s="1"/>
  <c r="J13" i="5"/>
  <c r="I13" i="5"/>
  <c r="G13" i="5"/>
  <c r="F13" i="5"/>
  <c r="L13" i="5" s="1"/>
  <c r="D9" i="14"/>
  <c r="J12" i="5"/>
  <c r="I12" i="5"/>
  <c r="J11" i="5"/>
  <c r="I11" i="5"/>
  <c r="K11" i="5"/>
  <c r="J10" i="5"/>
  <c r="I10" i="5"/>
  <c r="E14" i="5"/>
  <c r="J9" i="5"/>
  <c r="I9" i="5"/>
  <c r="D7" i="14"/>
  <c r="J7" i="14" s="1"/>
  <c r="A1" i="5"/>
  <c r="D31" i="3"/>
  <c r="D12" i="3"/>
  <c r="E6" i="2"/>
  <c r="J11" i="7" l="1"/>
  <c r="F11" i="29"/>
  <c r="L11" i="29" s="1"/>
  <c r="K11" i="29"/>
  <c r="E71" i="29"/>
  <c r="F71" i="29" s="1"/>
  <c r="F67" i="29"/>
  <c r="L67" i="29" s="1"/>
  <c r="F53" i="29"/>
  <c r="K53" i="29"/>
  <c r="E34" i="29"/>
  <c r="F79" i="29"/>
  <c r="K19" i="29"/>
  <c r="K28" i="29"/>
  <c r="F28" i="29"/>
  <c r="E30" i="29"/>
  <c r="F30" i="29" s="1"/>
  <c r="L30" i="29" s="1"/>
  <c r="E32" i="29"/>
  <c r="F32" i="29" s="1"/>
  <c r="K57" i="29"/>
  <c r="F60" i="29"/>
  <c r="L60" i="29" s="1"/>
  <c r="K60" i="29"/>
  <c r="F15" i="29"/>
  <c r="K70" i="29"/>
  <c r="F70" i="29"/>
  <c r="E72" i="29"/>
  <c r="K72" i="29" s="1"/>
  <c r="F58" i="29"/>
  <c r="L58" i="29" s="1"/>
  <c r="K58" i="29"/>
  <c r="F17" i="29"/>
  <c r="D99" i="29"/>
  <c r="J99" i="29" s="1"/>
  <c r="F68" i="29"/>
  <c r="F80" i="29" s="1"/>
  <c r="B19" i="28"/>
  <c r="F18" i="5"/>
  <c r="C14" i="26"/>
  <c r="C16" i="26" s="1"/>
  <c r="D26" i="26"/>
  <c r="D28" i="26" s="1"/>
  <c r="D30" i="26" s="1"/>
  <c r="J30" i="26" s="1"/>
  <c r="C21" i="27"/>
  <c r="F15" i="26"/>
  <c r="L15" i="26" s="1"/>
  <c r="F17" i="26"/>
  <c r="L17" i="26" s="1"/>
  <c r="K27" i="26"/>
  <c r="F71" i="26"/>
  <c r="L71" i="26" s="1"/>
  <c r="C99" i="26"/>
  <c r="I99" i="26" s="1"/>
  <c r="E53" i="26"/>
  <c r="F53" i="26" s="1"/>
  <c r="L53" i="26" s="1"/>
  <c r="D64" i="26"/>
  <c r="E64" i="26" s="1"/>
  <c r="J24" i="26"/>
  <c r="E25" i="26"/>
  <c r="K25" i="26" s="1"/>
  <c r="E38" i="26"/>
  <c r="K38" i="26" s="1"/>
  <c r="K23" i="26"/>
  <c r="J25" i="26"/>
  <c r="E62" i="26"/>
  <c r="I71" i="26"/>
  <c r="C83" i="26"/>
  <c r="I83" i="26" s="1"/>
  <c r="F95" i="26"/>
  <c r="L95" i="26" s="1"/>
  <c r="C39" i="26"/>
  <c r="C41" i="26" s="1"/>
  <c r="B64" i="26"/>
  <c r="H64" i="26" s="1"/>
  <c r="K71" i="26"/>
  <c r="E80" i="26"/>
  <c r="K80" i="26" s="1"/>
  <c r="AB18" i="25"/>
  <c r="AB24" i="25"/>
  <c r="AB25" i="25"/>
  <c r="E21" i="25"/>
  <c r="K21" i="25" s="1"/>
  <c r="AB21" i="25"/>
  <c r="J14" i="24"/>
  <c r="D16" i="24"/>
  <c r="J16" i="24" s="1"/>
  <c r="H16" i="24"/>
  <c r="D49" i="23"/>
  <c r="F21" i="23"/>
  <c r="L21" i="23" s="1"/>
  <c r="F45" i="23"/>
  <c r="L45" i="23" s="1"/>
  <c r="L10" i="23"/>
  <c r="L12" i="23"/>
  <c r="L14" i="23"/>
  <c r="L16" i="23"/>
  <c r="L18" i="23"/>
  <c r="J36" i="23"/>
  <c r="F42" i="23"/>
  <c r="L42" i="23" s="1"/>
  <c r="F46" i="23"/>
  <c r="L46" i="23" s="1"/>
  <c r="L11" i="23"/>
  <c r="L13" i="23"/>
  <c r="B24" i="22"/>
  <c r="D24" i="22"/>
  <c r="J24" i="22" s="1"/>
  <c r="H19" i="22"/>
  <c r="F15" i="21"/>
  <c r="L15" i="21" s="1"/>
  <c r="E18" i="21"/>
  <c r="K18" i="21" s="1"/>
  <c r="J17" i="20"/>
  <c r="D24" i="20"/>
  <c r="J24" i="20" s="1"/>
  <c r="B38" i="19"/>
  <c r="J38" i="19" s="1"/>
  <c r="E36" i="20"/>
  <c r="L29" i="20"/>
  <c r="C38" i="19"/>
  <c r="K38" i="19" s="1"/>
  <c r="K28" i="19"/>
  <c r="F29" i="15"/>
  <c r="L29" i="15" s="1"/>
  <c r="I14" i="17"/>
  <c r="S14" i="17"/>
  <c r="T14" i="17" s="1"/>
  <c r="B21" i="17"/>
  <c r="I21" i="17" s="1"/>
  <c r="M10" i="17"/>
  <c r="E8" i="17"/>
  <c r="M11" i="17"/>
  <c r="I8" i="17"/>
  <c r="L9" i="17"/>
  <c r="L11" i="17"/>
  <c r="J21" i="17"/>
  <c r="G17" i="16"/>
  <c r="R17" i="16" s="1"/>
  <c r="G21" i="16"/>
  <c r="R21" i="16" s="1"/>
  <c r="G25" i="16"/>
  <c r="R25" i="16" s="1"/>
  <c r="G29" i="16"/>
  <c r="R29" i="16" s="1"/>
  <c r="G34" i="16"/>
  <c r="R34" i="16" s="1"/>
  <c r="G35" i="16"/>
  <c r="R35" i="16" s="1"/>
  <c r="Q37" i="16"/>
  <c r="G38" i="16"/>
  <c r="R38" i="16" s="1"/>
  <c r="Q39" i="16"/>
  <c r="G36" i="16"/>
  <c r="R36" i="16" s="1"/>
  <c r="G15" i="16"/>
  <c r="G19" i="16"/>
  <c r="R19" i="16" s="1"/>
  <c r="D12" i="12"/>
  <c r="J12" i="12" s="1"/>
  <c r="F29" i="12"/>
  <c r="K29" i="12" s="1"/>
  <c r="F577" i="11"/>
  <c r="E175" i="11"/>
  <c r="C330" i="11"/>
  <c r="P87" i="11"/>
  <c r="G252" i="11"/>
  <c r="C562" i="11"/>
  <c r="C639" i="11"/>
  <c r="D577" i="11"/>
  <c r="O61" i="11"/>
  <c r="O16" i="11"/>
  <c r="N54" i="11"/>
  <c r="O58" i="11"/>
  <c r="N13" i="11"/>
  <c r="N42" i="11"/>
  <c r="P44" i="11"/>
  <c r="G98" i="11"/>
  <c r="K113" i="11"/>
  <c r="P113" i="11" s="1"/>
  <c r="G175" i="11"/>
  <c r="C252" i="11"/>
  <c r="O48" i="11"/>
  <c r="E252" i="11"/>
  <c r="P256" i="11"/>
  <c r="O13" i="11"/>
  <c r="M14" i="11"/>
  <c r="N16" i="11"/>
  <c r="P24" i="11"/>
  <c r="N25" i="11"/>
  <c r="P28" i="11"/>
  <c r="N29" i="11"/>
  <c r="N31" i="11"/>
  <c r="P32" i="11"/>
  <c r="N33" i="11"/>
  <c r="P40" i="11"/>
  <c r="O42" i="11"/>
  <c r="P56" i="11"/>
  <c r="E98" i="11"/>
  <c r="C98" i="11"/>
  <c r="G330" i="11"/>
  <c r="E330" i="11"/>
  <c r="E408" i="11"/>
  <c r="G562" i="11"/>
  <c r="G408" i="11"/>
  <c r="C408" i="11"/>
  <c r="E485" i="11"/>
  <c r="E562" i="11"/>
  <c r="B577" i="11"/>
  <c r="E639" i="11"/>
  <c r="G639" i="11"/>
  <c r="F63" i="9"/>
  <c r="K63" i="9"/>
  <c r="J73" i="9"/>
  <c r="E66" i="9"/>
  <c r="K66" i="9" s="1"/>
  <c r="F61" i="9"/>
  <c r="K61" i="9"/>
  <c r="E73" i="9"/>
  <c r="K73" i="9" s="1"/>
  <c r="K10" i="24"/>
  <c r="K8" i="22"/>
  <c r="F12" i="22"/>
  <c r="L12" i="22" s="1"/>
  <c r="L8" i="22"/>
  <c r="L9" i="22"/>
  <c r="J10" i="7"/>
  <c r="U52" i="6"/>
  <c r="AD52" i="6" s="1"/>
  <c r="AB44" i="6"/>
  <c r="T11" i="6"/>
  <c r="AC11" i="6" s="1"/>
  <c r="T12" i="6"/>
  <c r="AC12" i="6" s="1"/>
  <c r="U11" i="6"/>
  <c r="AD11" i="6" s="1"/>
  <c r="AA20" i="6"/>
  <c r="U20" i="6"/>
  <c r="AD20" i="6" s="1"/>
  <c r="AB42" i="6"/>
  <c r="E46" i="6"/>
  <c r="P50" i="6"/>
  <c r="Y50" i="6" s="1"/>
  <c r="P53" i="6"/>
  <c r="Y53" i="6" s="1"/>
  <c r="J13" i="7"/>
  <c r="D14" i="6"/>
  <c r="H14" i="6"/>
  <c r="L14" i="6"/>
  <c r="P14" i="6"/>
  <c r="Y14" i="6" s="1"/>
  <c r="H32" i="6"/>
  <c r="U58" i="6"/>
  <c r="AD58" i="6" s="1"/>
  <c r="C12" i="7"/>
  <c r="E14" i="6"/>
  <c r="M14" i="6"/>
  <c r="Q14" i="6"/>
  <c r="Z14" i="6" s="1"/>
  <c r="P46" i="6"/>
  <c r="Y46" i="6" s="1"/>
  <c r="H10" i="7"/>
  <c r="H11" i="7"/>
  <c r="H13" i="7"/>
  <c r="F47" i="6"/>
  <c r="T18" i="6"/>
  <c r="AC18" i="6" s="1"/>
  <c r="AB21" i="6"/>
  <c r="AA21" i="6"/>
  <c r="X27" i="6"/>
  <c r="F15" i="7"/>
  <c r="L15" i="7" s="1"/>
  <c r="U38" i="6"/>
  <c r="AD38" i="6" s="1"/>
  <c r="T39" i="6"/>
  <c r="AC39" i="6" s="1"/>
  <c r="I46" i="6"/>
  <c r="Q52" i="6"/>
  <c r="Z52" i="6" s="1"/>
  <c r="F57" i="6"/>
  <c r="E12" i="7"/>
  <c r="E26" i="7" s="1"/>
  <c r="K26" i="7" s="1"/>
  <c r="C29" i="7"/>
  <c r="I29" i="7" s="1"/>
  <c r="B30" i="7"/>
  <c r="H30" i="7" s="1"/>
  <c r="K47" i="6"/>
  <c r="K62" i="6" s="1"/>
  <c r="T13" i="6"/>
  <c r="AC13" i="6" s="1"/>
  <c r="AA12" i="6"/>
  <c r="G47" i="6"/>
  <c r="I47" i="6" s="1"/>
  <c r="T20" i="6"/>
  <c r="AC20" i="6" s="1"/>
  <c r="AA22" i="6"/>
  <c r="Q27" i="6"/>
  <c r="Z27" i="6" s="1"/>
  <c r="P28" i="6"/>
  <c r="Y28" i="6" s="1"/>
  <c r="P30" i="6"/>
  <c r="Y30" i="6" s="1"/>
  <c r="D32" i="6"/>
  <c r="I32" i="6"/>
  <c r="AB36" i="6"/>
  <c r="T37" i="6"/>
  <c r="AC37" i="6" s="1"/>
  <c r="AB45" i="6"/>
  <c r="D46" i="6"/>
  <c r="T52" i="6"/>
  <c r="AC52" i="6" s="1"/>
  <c r="X52" i="6"/>
  <c r="I16" i="7"/>
  <c r="E25" i="7"/>
  <c r="K25" i="7" s="1"/>
  <c r="C27" i="7"/>
  <c r="I27" i="7" s="1"/>
  <c r="E29" i="7"/>
  <c r="K29" i="7" s="1"/>
  <c r="M24" i="6"/>
  <c r="K16" i="7"/>
  <c r="F9" i="21"/>
  <c r="L9" i="21" s="1"/>
  <c r="F13" i="21"/>
  <c r="L13" i="21" s="1"/>
  <c r="F12" i="21"/>
  <c r="L12" i="21" s="1"/>
  <c r="H9" i="14"/>
  <c r="F10" i="21"/>
  <c r="L10" i="21" s="1"/>
  <c r="F14" i="21"/>
  <c r="L14" i="21" s="1"/>
  <c r="F11" i="21"/>
  <c r="L11" i="21" s="1"/>
  <c r="C16" i="31"/>
  <c r="I9" i="31"/>
  <c r="C48" i="5"/>
  <c r="B8" i="14"/>
  <c r="H8" i="14" s="1"/>
  <c r="F72" i="29"/>
  <c r="L72" i="29" s="1"/>
  <c r="M47" i="5"/>
  <c r="H8" i="18"/>
  <c r="F37" i="25"/>
  <c r="L37" i="25" s="1"/>
  <c r="T35" i="6"/>
  <c r="AC35" i="6" s="1"/>
  <c r="AB35" i="6"/>
  <c r="U35" i="6"/>
  <c r="AD35" i="6" s="1"/>
  <c r="U36" i="6"/>
  <c r="AD36" i="6" s="1"/>
  <c r="E48" i="5"/>
  <c r="K14" i="5"/>
  <c r="AB38" i="6"/>
  <c r="T44" i="6"/>
  <c r="AC44" i="6" s="1"/>
  <c r="U44" i="6"/>
  <c r="AD44" i="6" s="1"/>
  <c r="U43" i="6"/>
  <c r="AD43" i="6" s="1"/>
  <c r="AB43" i="6"/>
  <c r="M57" i="6"/>
  <c r="L57" i="6"/>
  <c r="AB40" i="6"/>
  <c r="U40" i="6"/>
  <c r="AD40" i="6" s="1"/>
  <c r="U41" i="6"/>
  <c r="AD41" i="6" s="1"/>
  <c r="AB41" i="6"/>
  <c r="P12" i="11"/>
  <c r="P39" i="11"/>
  <c r="L29" i="5"/>
  <c r="R14" i="6"/>
  <c r="F10" i="7"/>
  <c r="C47" i="6"/>
  <c r="C62" i="6" s="1"/>
  <c r="AA50" i="6"/>
  <c r="AB51" i="6"/>
  <c r="K10" i="5"/>
  <c r="D8" i="14"/>
  <c r="J8" i="14" s="1"/>
  <c r="J9" i="14"/>
  <c r="G15" i="5"/>
  <c r="M15" i="5" s="1"/>
  <c r="T17" i="6"/>
  <c r="AC17" i="6" s="1"/>
  <c r="AA19" i="6"/>
  <c r="M32" i="6"/>
  <c r="U45" i="6"/>
  <c r="AD45" i="6" s="1"/>
  <c r="AA51" i="6"/>
  <c r="R54" i="6"/>
  <c r="P10" i="11"/>
  <c r="O28" i="11"/>
  <c r="K9" i="5"/>
  <c r="L33" i="5"/>
  <c r="D48" i="5"/>
  <c r="U9" i="6"/>
  <c r="AD9" i="6" s="1"/>
  <c r="T10" i="6"/>
  <c r="AC10" i="6" s="1"/>
  <c r="U17" i="6"/>
  <c r="AD17" i="6" s="1"/>
  <c r="AA17" i="6"/>
  <c r="T22" i="6"/>
  <c r="AC22" i="6" s="1"/>
  <c r="AB23" i="6"/>
  <c r="I24" i="6"/>
  <c r="P24" i="6"/>
  <c r="Q29" i="6"/>
  <c r="Z29" i="6" s="1"/>
  <c r="U31" i="6"/>
  <c r="AD31" i="6" s="1"/>
  <c r="L46" i="6"/>
  <c r="E54" i="6"/>
  <c r="B9" i="7"/>
  <c r="L54" i="6"/>
  <c r="B57" i="6"/>
  <c r="T58" i="6"/>
  <c r="AC58" i="6" s="1"/>
  <c r="C9" i="7"/>
  <c r="I10" i="7"/>
  <c r="C24" i="7"/>
  <c r="I24" i="7" s="1"/>
  <c r="J12" i="7"/>
  <c r="H15" i="7"/>
  <c r="B29" i="7"/>
  <c r="H29" i="7" s="1"/>
  <c r="B26" i="7"/>
  <c r="H26" i="7" s="1"/>
  <c r="E27" i="7"/>
  <c r="K27" i="7" s="1"/>
  <c r="D30" i="7"/>
  <c r="J30" i="7" s="1"/>
  <c r="B23" i="8"/>
  <c r="B15" i="8"/>
  <c r="F23" i="8"/>
  <c r="E24" i="9"/>
  <c r="K8" i="9"/>
  <c r="F24" i="9"/>
  <c r="F51" i="9"/>
  <c r="L51" i="9" s="1"/>
  <c r="L35" i="9"/>
  <c r="F55" i="9"/>
  <c r="L55" i="9" s="1"/>
  <c r="L39" i="9"/>
  <c r="E42" i="9"/>
  <c r="F48" i="9"/>
  <c r="L48" i="9" s="1"/>
  <c r="F50" i="9"/>
  <c r="L50" i="9" s="1"/>
  <c r="F52" i="9"/>
  <c r="L52" i="9" s="1"/>
  <c r="F54" i="9"/>
  <c r="L54" i="9" s="1"/>
  <c r="F56" i="9"/>
  <c r="L56" i="9" s="1"/>
  <c r="E74" i="9"/>
  <c r="K62" i="9"/>
  <c r="F62" i="9"/>
  <c r="B78" i="9"/>
  <c r="H78" i="9" s="1"/>
  <c r="N9" i="11"/>
  <c r="O9" i="11"/>
  <c r="P11" i="11"/>
  <c r="M25" i="11"/>
  <c r="P26" i="11"/>
  <c r="O30" i="11"/>
  <c r="M33" i="11"/>
  <c r="O43" i="11"/>
  <c r="K28" i="5"/>
  <c r="L39" i="5"/>
  <c r="L45" i="5"/>
  <c r="L47" i="5"/>
  <c r="Q24" i="6"/>
  <c r="Z24" i="6" s="1"/>
  <c r="W57" i="6"/>
  <c r="K13" i="5"/>
  <c r="T9" i="6"/>
  <c r="AC9" i="6" s="1"/>
  <c r="T19" i="6"/>
  <c r="AC19" i="6" s="1"/>
  <c r="AA30" i="6"/>
  <c r="T31" i="6"/>
  <c r="AC31" i="6" s="1"/>
  <c r="AA31" i="6"/>
  <c r="AB56" i="6"/>
  <c r="F46" i="9"/>
  <c r="L46" i="9" s="1"/>
  <c r="L30" i="9"/>
  <c r="D58" i="9"/>
  <c r="L61" i="9"/>
  <c r="F73" i="9"/>
  <c r="E76" i="9"/>
  <c r="K76" i="9" s="1"/>
  <c r="K64" i="9"/>
  <c r="F64" i="9"/>
  <c r="E13" i="10"/>
  <c r="K13" i="10" s="1"/>
  <c r="K7" i="10"/>
  <c r="F7" i="10"/>
  <c r="K12" i="5"/>
  <c r="M13" i="5"/>
  <c r="J8" i="18"/>
  <c r="K29" i="5"/>
  <c r="M33" i="5"/>
  <c r="AA9" i="6"/>
  <c r="U10" i="6"/>
  <c r="AD10" i="6" s="1"/>
  <c r="AA13" i="6"/>
  <c r="AB14" i="6"/>
  <c r="U22" i="6"/>
  <c r="AD22" i="6" s="1"/>
  <c r="AA23" i="6"/>
  <c r="E24" i="6"/>
  <c r="L24" i="6"/>
  <c r="R24" i="6"/>
  <c r="U28" i="6"/>
  <c r="AD28" i="6" s="1"/>
  <c r="R32" i="6"/>
  <c r="AA28" i="6"/>
  <c r="X29" i="6"/>
  <c r="L32" i="6"/>
  <c r="O32" i="6"/>
  <c r="T38" i="6"/>
  <c r="AC38" i="6" s="1"/>
  <c r="T41" i="6"/>
  <c r="AC41" i="6" s="1"/>
  <c r="T43" i="6"/>
  <c r="AC43" i="6" s="1"/>
  <c r="T45" i="6"/>
  <c r="AC45" i="6" s="1"/>
  <c r="H46" i="6"/>
  <c r="U53" i="6"/>
  <c r="AD53" i="6" s="1"/>
  <c r="AA53" i="6"/>
  <c r="H54" i="6"/>
  <c r="W54" i="6"/>
  <c r="E9" i="7"/>
  <c r="C26" i="7"/>
  <c r="I26" i="7" s="1"/>
  <c r="I12" i="7"/>
  <c r="F16" i="7"/>
  <c r="C25" i="7"/>
  <c r="I25" i="7" s="1"/>
  <c r="L28" i="9"/>
  <c r="F44" i="9"/>
  <c r="L44" i="9" s="1"/>
  <c r="B58" i="9"/>
  <c r="C58" i="9"/>
  <c r="C78" i="9"/>
  <c r="I78" i="9" s="1"/>
  <c r="K11" i="10"/>
  <c r="F11" i="10"/>
  <c r="L11" i="10" s="1"/>
  <c r="M17" i="11"/>
  <c r="P18" i="11"/>
  <c r="O24" i="11"/>
  <c r="M27" i="11"/>
  <c r="O32" i="11"/>
  <c r="N41" i="11"/>
  <c r="U50" i="6"/>
  <c r="AD50" i="6" s="1"/>
  <c r="D9" i="7"/>
  <c r="M54" i="6"/>
  <c r="E24" i="7"/>
  <c r="K24" i="7" s="1"/>
  <c r="K10" i="7"/>
  <c r="D29" i="7"/>
  <c r="J29" i="7" s="1"/>
  <c r="J15" i="7"/>
  <c r="F49" i="9"/>
  <c r="L49" i="9" s="1"/>
  <c r="L33" i="9"/>
  <c r="F53" i="9"/>
  <c r="L53" i="9" s="1"/>
  <c r="L37" i="9"/>
  <c r="F45" i="9"/>
  <c r="L45" i="9" s="1"/>
  <c r="F75" i="9"/>
  <c r="L75" i="9" s="1"/>
  <c r="L63" i="9"/>
  <c r="N10" i="11"/>
  <c r="O26" i="11"/>
  <c r="N27" i="11"/>
  <c r="M29" i="11"/>
  <c r="P30" i="11"/>
  <c r="N45" i="11"/>
  <c r="P73" i="11"/>
  <c r="P76" i="11"/>
  <c r="M29" i="5"/>
  <c r="H47" i="6"/>
  <c r="M31" i="11"/>
  <c r="P43" i="11"/>
  <c r="P62" i="11"/>
  <c r="N75" i="11"/>
  <c r="AA29" i="6"/>
  <c r="X30" i="6"/>
  <c r="W32" i="6"/>
  <c r="AA36" i="6"/>
  <c r="AA38" i="6"/>
  <c r="AA40" i="6"/>
  <c r="AA41" i="6"/>
  <c r="AA43" i="6"/>
  <c r="AA45" i="6"/>
  <c r="R46" i="6"/>
  <c r="W46" i="6"/>
  <c r="B47" i="6"/>
  <c r="J47" i="6"/>
  <c r="N47" i="6"/>
  <c r="X50" i="6"/>
  <c r="AA52" i="6"/>
  <c r="X53" i="6"/>
  <c r="O54" i="6"/>
  <c r="AA58" i="6"/>
  <c r="F11" i="7"/>
  <c r="F13" i="7"/>
  <c r="O41" i="11"/>
  <c r="O45" i="11"/>
  <c r="O60" i="11"/>
  <c r="O63" i="11"/>
  <c r="O71" i="11"/>
  <c r="O74" i="11"/>
  <c r="O40" i="11"/>
  <c r="O44" i="11"/>
  <c r="O46" i="11"/>
  <c r="O55" i="11"/>
  <c r="O62" i="11"/>
  <c r="O73" i="11"/>
  <c r="O76" i="11"/>
  <c r="C175" i="11"/>
  <c r="AA27" i="6"/>
  <c r="T40" i="6"/>
  <c r="AC40" i="6" s="1"/>
  <c r="G57" i="6"/>
  <c r="F11" i="8"/>
  <c r="F42" i="9"/>
  <c r="O47" i="11"/>
  <c r="O56" i="11"/>
  <c r="O57" i="11"/>
  <c r="O59" i="11"/>
  <c r="O70" i="11"/>
  <c r="O75" i="11"/>
  <c r="O78" i="11"/>
  <c r="O77" i="11"/>
  <c r="G485" i="11"/>
  <c r="C485" i="11"/>
  <c r="I18" i="15"/>
  <c r="C11" i="12"/>
  <c r="I9" i="12"/>
  <c r="I15" i="16"/>
  <c r="I42" i="16"/>
  <c r="T42" i="16" s="1"/>
  <c r="I38" i="16"/>
  <c r="T38" i="16" s="1"/>
  <c r="I36" i="16"/>
  <c r="T36" i="16" s="1"/>
  <c r="I34" i="16"/>
  <c r="T34" i="16" s="1"/>
  <c r="I32" i="16"/>
  <c r="T32" i="16" s="1"/>
  <c r="I43" i="16"/>
  <c r="T43" i="16" s="1"/>
  <c r="I41" i="16"/>
  <c r="T41" i="16" s="1"/>
  <c r="C13" i="34"/>
  <c r="C13" i="42"/>
  <c r="J10" i="13"/>
  <c r="R37" i="16"/>
  <c r="R39" i="16"/>
  <c r="B11" i="12"/>
  <c r="H9" i="12"/>
  <c r="H18" i="15"/>
  <c r="D29" i="12"/>
  <c r="I29" i="12" s="1"/>
  <c r="H9" i="13"/>
  <c r="H22" i="13"/>
  <c r="J11" i="15"/>
  <c r="K29" i="15"/>
  <c r="J35" i="15"/>
  <c r="G16" i="16"/>
  <c r="G18" i="16"/>
  <c r="G20" i="16"/>
  <c r="G22" i="16"/>
  <c r="G24" i="16"/>
  <c r="G26" i="16"/>
  <c r="G28" i="16"/>
  <c r="D31" i="16"/>
  <c r="L12" i="17"/>
  <c r="T12" i="17"/>
  <c r="M12" i="17" s="1"/>
  <c r="L18" i="17"/>
  <c r="T18" i="17"/>
  <c r="M18" i="17" s="1"/>
  <c r="K12" i="12"/>
  <c r="K26" i="12"/>
  <c r="E29" i="12"/>
  <c r="J29" i="12" s="1"/>
  <c r="C8" i="14"/>
  <c r="I8" i="14" s="1"/>
  <c r="K9" i="14"/>
  <c r="B16" i="15"/>
  <c r="H16" i="15" s="1"/>
  <c r="I17" i="16"/>
  <c r="T17" i="16" s="1"/>
  <c r="T19" i="16"/>
  <c r="T21" i="16"/>
  <c r="T23" i="16"/>
  <c r="I25" i="16"/>
  <c r="T25" i="16" s="1"/>
  <c r="I27" i="16"/>
  <c r="T27" i="16" s="1"/>
  <c r="I29" i="16"/>
  <c r="T29" i="16" s="1"/>
  <c r="I40" i="16"/>
  <c r="T40" i="16" s="1"/>
  <c r="Q41" i="16"/>
  <c r="J42" i="16"/>
  <c r="U42" i="16" s="1"/>
  <c r="R42" i="16"/>
  <c r="Q43" i="16"/>
  <c r="L14" i="17"/>
  <c r="F14" i="17"/>
  <c r="M14" i="17" s="1"/>
  <c r="L17" i="17"/>
  <c r="F17" i="17"/>
  <c r="M17" i="17" s="1"/>
  <c r="I8" i="18"/>
  <c r="K36" i="20"/>
  <c r="J9" i="13"/>
  <c r="H11" i="15"/>
  <c r="C16" i="15"/>
  <c r="I16" i="15" s="1"/>
  <c r="R15" i="16"/>
  <c r="O16" i="16"/>
  <c r="I16" i="16"/>
  <c r="T16" i="16" s="1"/>
  <c r="O18" i="16"/>
  <c r="I18" i="16"/>
  <c r="T18" i="16" s="1"/>
  <c r="O20" i="16"/>
  <c r="T20" i="16"/>
  <c r="J21" i="16"/>
  <c r="U21" i="16" s="1"/>
  <c r="O22" i="16"/>
  <c r="T22" i="16"/>
  <c r="O24" i="16"/>
  <c r="I24" i="16"/>
  <c r="T24" i="16" s="1"/>
  <c r="O26" i="16"/>
  <c r="I26" i="16"/>
  <c r="T26" i="16" s="1"/>
  <c r="O28" i="16"/>
  <c r="I28" i="16"/>
  <c r="T28" i="16" s="1"/>
  <c r="J32" i="16"/>
  <c r="U32" i="16" s="1"/>
  <c r="L8" i="17"/>
  <c r="F8" i="17"/>
  <c r="D45" i="20"/>
  <c r="J38" i="20"/>
  <c r="L36" i="20"/>
  <c r="I9" i="14"/>
  <c r="I11" i="15"/>
  <c r="I35" i="15"/>
  <c r="C11" i="38"/>
  <c r="C11" i="46"/>
  <c r="D17" i="46" s="1"/>
  <c r="O33" i="16"/>
  <c r="I33" i="16"/>
  <c r="T33" i="16" s="1"/>
  <c r="O35" i="16"/>
  <c r="I35" i="16"/>
  <c r="T35" i="16" s="1"/>
  <c r="O37" i="16"/>
  <c r="I37" i="16"/>
  <c r="T37" i="16" s="1"/>
  <c r="O39" i="16"/>
  <c r="I39" i="16"/>
  <c r="T39" i="16" s="1"/>
  <c r="R41" i="16"/>
  <c r="J41" i="16"/>
  <c r="U41" i="16" s="1"/>
  <c r="R43" i="16"/>
  <c r="E21" i="17"/>
  <c r="S21" i="17"/>
  <c r="S33" i="17" s="1"/>
  <c r="I18" i="21"/>
  <c r="F13" i="17"/>
  <c r="M13" i="17" s="1"/>
  <c r="F15" i="17"/>
  <c r="M15" i="17" s="1"/>
  <c r="K8" i="18"/>
  <c r="P11" i="19"/>
  <c r="P14" i="19"/>
  <c r="F22" i="19"/>
  <c r="N22" i="19" s="1"/>
  <c r="J28" i="19"/>
  <c r="F17" i="20"/>
  <c r="E24" i="20"/>
  <c r="K24" i="20" s="1"/>
  <c r="I29" i="20"/>
  <c r="L16" i="21"/>
  <c r="D18" i="21"/>
  <c r="C24" i="22"/>
  <c r="H45" i="25"/>
  <c r="I38" i="26"/>
  <c r="F24" i="19"/>
  <c r="N24" i="19" s="1"/>
  <c r="H34" i="20"/>
  <c r="C36" i="20"/>
  <c r="B18" i="21"/>
  <c r="H16" i="21"/>
  <c r="E20" i="22"/>
  <c r="E24" i="22" s="1"/>
  <c r="K9" i="22"/>
  <c r="J19" i="22"/>
  <c r="H24" i="22"/>
  <c r="J49" i="23"/>
  <c r="I27" i="25"/>
  <c r="J48" i="26"/>
  <c r="D50" i="26"/>
  <c r="D99" i="26"/>
  <c r="F75" i="26"/>
  <c r="L75" i="26" s="1"/>
  <c r="J75" i="26"/>
  <c r="N15" i="19"/>
  <c r="K17" i="20"/>
  <c r="K29" i="20"/>
  <c r="J30" i="20"/>
  <c r="D36" i="20"/>
  <c r="E49" i="23"/>
  <c r="C49" i="23"/>
  <c r="L19" i="22"/>
  <c r="E12" i="22"/>
  <c r="K12" i="22" s="1"/>
  <c r="F24" i="22"/>
  <c r="H36" i="23"/>
  <c r="B49" i="23"/>
  <c r="F36" i="23"/>
  <c r="I16" i="24"/>
  <c r="L36" i="25"/>
  <c r="AC36" i="25"/>
  <c r="D8" i="27"/>
  <c r="D18" i="26"/>
  <c r="J16" i="26"/>
  <c r="E29" i="26"/>
  <c r="J29" i="26"/>
  <c r="I67" i="26"/>
  <c r="B83" i="26"/>
  <c r="H71" i="26"/>
  <c r="F11" i="25"/>
  <c r="F12" i="25"/>
  <c r="F13" i="25"/>
  <c r="F14" i="25"/>
  <c r="F16" i="25"/>
  <c r="F17" i="25"/>
  <c r="K17" i="25"/>
  <c r="K24" i="25"/>
  <c r="F24" i="25"/>
  <c r="F25" i="25"/>
  <c r="E27" i="25"/>
  <c r="AB33" i="25"/>
  <c r="F38" i="25"/>
  <c r="D39" i="26"/>
  <c r="E41" i="26"/>
  <c r="K40" i="26"/>
  <c r="F40" i="26"/>
  <c r="J49" i="26"/>
  <c r="E49" i="26"/>
  <c r="K74" i="26"/>
  <c r="F74" i="26"/>
  <c r="E76" i="26"/>
  <c r="F87" i="26"/>
  <c r="L87" i="26" s="1"/>
  <c r="I87" i="26"/>
  <c r="L32" i="29"/>
  <c r="K32" i="29"/>
  <c r="F37" i="23"/>
  <c r="L37" i="23" s="1"/>
  <c r="F18" i="25"/>
  <c r="I24" i="25"/>
  <c r="AB45" i="25"/>
  <c r="C8" i="27"/>
  <c r="I16" i="26"/>
  <c r="J14" i="26"/>
  <c r="C18" i="26"/>
  <c r="C25" i="34"/>
  <c r="L32" i="26"/>
  <c r="K51" i="26"/>
  <c r="F51" i="26"/>
  <c r="J62" i="26"/>
  <c r="K66" i="26"/>
  <c r="F66" i="26"/>
  <c r="L66" i="26" s="1"/>
  <c r="E92" i="26"/>
  <c r="K90" i="26"/>
  <c r="F90" i="26"/>
  <c r="B25" i="27"/>
  <c r="H21" i="27"/>
  <c r="F41" i="25"/>
  <c r="F40" i="25"/>
  <c r="F31" i="25"/>
  <c r="F30" i="25"/>
  <c r="F15" i="25"/>
  <c r="J24" i="25"/>
  <c r="F39" i="25"/>
  <c r="F42" i="25"/>
  <c r="F43" i="25"/>
  <c r="L16" i="26"/>
  <c r="F38" i="26"/>
  <c r="L38" i="26" s="1"/>
  <c r="I63" i="26"/>
  <c r="C64" i="26"/>
  <c r="I64" i="26" s="1"/>
  <c r="F91" i="26"/>
  <c r="L91" i="26" s="1"/>
  <c r="J91" i="26"/>
  <c r="F79" i="26"/>
  <c r="F94" i="26"/>
  <c r="K94" i="26"/>
  <c r="B99" i="26"/>
  <c r="F103" i="26"/>
  <c r="L103" i="26" s="1"/>
  <c r="F10" i="29"/>
  <c r="E25" i="29"/>
  <c r="L15" i="29"/>
  <c r="L28" i="29"/>
  <c r="L53" i="29"/>
  <c r="E75" i="29"/>
  <c r="K61" i="29"/>
  <c r="L61" i="29"/>
  <c r="E63" i="29"/>
  <c r="K63" i="29" s="1"/>
  <c r="K67" i="29"/>
  <c r="F84" i="29"/>
  <c r="L84" i="29" s="1"/>
  <c r="F17" i="28"/>
  <c r="L17" i="28" s="1"/>
  <c r="F15" i="28"/>
  <c r="L15" i="28" s="1"/>
  <c r="F10" i="28"/>
  <c r="F9" i="28"/>
  <c r="F16" i="28"/>
  <c r="L16" i="28" s="1"/>
  <c r="F14" i="28"/>
  <c r="L14" i="28" s="1"/>
  <c r="F13" i="28"/>
  <c r="L13" i="28" s="1"/>
  <c r="F12" i="28"/>
  <c r="L12" i="28" s="1"/>
  <c r="L17" i="29"/>
  <c r="B49" i="29"/>
  <c r="H47" i="29"/>
  <c r="B34" i="29"/>
  <c r="H34" i="29" s="1"/>
  <c r="I49" i="29"/>
  <c r="F83" i="29"/>
  <c r="K71" i="29"/>
  <c r="D83" i="26"/>
  <c r="J71" i="26"/>
  <c r="J82" i="26"/>
  <c r="E82" i="26"/>
  <c r="J86" i="26"/>
  <c r="E86" i="26"/>
  <c r="J102" i="26"/>
  <c r="E102" i="26"/>
  <c r="L15" i="27"/>
  <c r="D21" i="27"/>
  <c r="J20" i="27"/>
  <c r="I21" i="27"/>
  <c r="C25" i="27"/>
  <c r="K14" i="29"/>
  <c r="F14" i="29"/>
  <c r="E29" i="29"/>
  <c r="F29" i="29" s="1"/>
  <c r="E21" i="29"/>
  <c r="K21" i="29" s="1"/>
  <c r="K34" i="29"/>
  <c r="F34" i="29"/>
  <c r="L34" i="29" s="1"/>
  <c r="I99" i="29"/>
  <c r="J19" i="28"/>
  <c r="C25" i="29"/>
  <c r="I25" i="29" s="1"/>
  <c r="I10" i="29"/>
  <c r="E31" i="29"/>
  <c r="F31" i="29" s="1"/>
  <c r="K16" i="29"/>
  <c r="F16" i="29"/>
  <c r="K30" i="29"/>
  <c r="K68" i="29"/>
  <c r="F82" i="29"/>
  <c r="F93" i="29"/>
  <c r="J13" i="30"/>
  <c r="J16" i="31"/>
  <c r="H20" i="27"/>
  <c r="F11" i="28"/>
  <c r="L11" i="28" s="1"/>
  <c r="K11" i="28"/>
  <c r="F13" i="29"/>
  <c r="K13" i="29"/>
  <c r="L18" i="29"/>
  <c r="C21" i="29"/>
  <c r="I21" i="29" s="1"/>
  <c r="E99" i="29"/>
  <c r="J26" i="27"/>
  <c r="E27" i="29"/>
  <c r="F27" i="29" s="1"/>
  <c r="K12" i="29"/>
  <c r="F12" i="29"/>
  <c r="K26" i="29"/>
  <c r="F26" i="29"/>
  <c r="J49" i="29"/>
  <c r="I13" i="30"/>
  <c r="B19" i="46"/>
  <c r="D16" i="46"/>
  <c r="D19" i="46" s="1"/>
  <c r="F73" i="29"/>
  <c r="K69" i="29"/>
  <c r="K55" i="29"/>
  <c r="L59" i="29"/>
  <c r="K74" i="29"/>
  <c r="F74" i="29"/>
  <c r="L8" i="30"/>
  <c r="F11" i="30"/>
  <c r="L11" i="30" s="1"/>
  <c r="K13" i="30"/>
  <c r="H13" i="30"/>
  <c r="H11" i="30"/>
  <c r="B16" i="31"/>
  <c r="F16" i="31"/>
  <c r="B89" i="29"/>
  <c r="H89" i="29" s="1"/>
  <c r="I11" i="30"/>
  <c r="J10" i="30"/>
  <c r="K12" i="7" l="1"/>
  <c r="L18" i="5"/>
  <c r="H19" i="28"/>
  <c r="E26" i="26"/>
  <c r="F25" i="26"/>
  <c r="L25" i="26" s="1"/>
  <c r="I39" i="26"/>
  <c r="J64" i="26"/>
  <c r="I14" i="26"/>
  <c r="J26" i="26"/>
  <c r="K53" i="26"/>
  <c r="F99" i="26"/>
  <c r="L99" i="26" s="1"/>
  <c r="C98" i="26"/>
  <c r="I98" i="26" s="1"/>
  <c r="C9" i="27"/>
  <c r="I9" i="27" s="1"/>
  <c r="F83" i="26"/>
  <c r="L83" i="26" s="1"/>
  <c r="C84" i="26"/>
  <c r="I84" i="26" s="1"/>
  <c r="H62" i="26"/>
  <c r="B13" i="26"/>
  <c r="K62" i="26"/>
  <c r="F62" i="26"/>
  <c r="L62" i="26" s="1"/>
  <c r="J28" i="26"/>
  <c r="E28" i="26"/>
  <c r="F30" i="5"/>
  <c r="L30" i="5" s="1"/>
  <c r="F31" i="5"/>
  <c r="L31" i="5" s="1"/>
  <c r="E49" i="20"/>
  <c r="E51" i="20" s="1"/>
  <c r="J40" i="16"/>
  <c r="U40" i="16" s="1"/>
  <c r="J34" i="16"/>
  <c r="U34" i="16" s="1"/>
  <c r="J23" i="16"/>
  <c r="U23" i="16" s="1"/>
  <c r="J29" i="16"/>
  <c r="U29" i="16" s="1"/>
  <c r="J39" i="16"/>
  <c r="U39" i="16" s="1"/>
  <c r="B24" i="13"/>
  <c r="G24" i="13" s="1"/>
  <c r="M9" i="11"/>
  <c r="P47" i="11"/>
  <c r="G65" i="11"/>
  <c r="B20" i="11"/>
  <c r="C24" i="13"/>
  <c r="H24" i="13" s="1"/>
  <c r="F20" i="11"/>
  <c r="C11" i="13" s="1"/>
  <c r="H11" i="13" s="1"/>
  <c r="M18" i="11"/>
  <c r="M11" i="11"/>
  <c r="O72" i="11"/>
  <c r="C65" i="11"/>
  <c r="G35" i="11"/>
  <c r="K35" i="11"/>
  <c r="P35" i="11" s="1"/>
  <c r="C80" i="11"/>
  <c r="C35" i="11"/>
  <c r="D20" i="11"/>
  <c r="B11" i="13" s="1"/>
  <c r="G11" i="13" s="1"/>
  <c r="L10" i="24"/>
  <c r="T42" i="6"/>
  <c r="AC42" i="6" s="1"/>
  <c r="U42" i="6"/>
  <c r="AD42" i="6" s="1"/>
  <c r="T23" i="6"/>
  <c r="AC23" i="6" s="1"/>
  <c r="U21" i="6"/>
  <c r="AD21" i="6" s="1"/>
  <c r="B15" i="35"/>
  <c r="T36" i="6"/>
  <c r="AC36" i="6" s="1"/>
  <c r="B15" i="43"/>
  <c r="AB18" i="6"/>
  <c r="U18" i="6"/>
  <c r="AD18" i="6" s="1"/>
  <c r="S46" i="6"/>
  <c r="AB46" i="6" s="1"/>
  <c r="T51" i="6"/>
  <c r="AC51" i="6" s="1"/>
  <c r="AB39" i="6"/>
  <c r="U39" i="6"/>
  <c r="AD39" i="6" s="1"/>
  <c r="U37" i="6"/>
  <c r="AD37" i="6" s="1"/>
  <c r="AB37" i="6"/>
  <c r="F62" i="6"/>
  <c r="T21" i="6"/>
  <c r="AC21" i="6" s="1"/>
  <c r="I16" i="31"/>
  <c r="AC37" i="25"/>
  <c r="F45" i="29"/>
  <c r="L45" i="29" s="1"/>
  <c r="F13" i="30"/>
  <c r="G37" i="5" s="1"/>
  <c r="M37" i="5" s="1"/>
  <c r="L79" i="29"/>
  <c r="F18" i="21"/>
  <c r="F47" i="29"/>
  <c r="L47" i="29" s="1"/>
  <c r="F45" i="25"/>
  <c r="L45" i="25" s="1"/>
  <c r="I48" i="5"/>
  <c r="U29" i="6"/>
  <c r="AD29" i="6" s="1"/>
  <c r="AB29" i="6"/>
  <c r="T29" i="6"/>
  <c r="AC29" i="6" s="1"/>
  <c r="L31" i="25"/>
  <c r="AC31" i="25"/>
  <c r="K41" i="26"/>
  <c r="K49" i="23"/>
  <c r="E85" i="9"/>
  <c r="I41" i="26"/>
  <c r="F30" i="15"/>
  <c r="E33" i="17"/>
  <c r="E30" i="15"/>
  <c r="L21" i="17"/>
  <c r="P63" i="11"/>
  <c r="N56" i="11"/>
  <c r="N30" i="11"/>
  <c r="K75" i="29"/>
  <c r="F75" i="29"/>
  <c r="L40" i="25"/>
  <c r="AC40" i="25"/>
  <c r="K76" i="26"/>
  <c r="H19" i="26"/>
  <c r="B68" i="26"/>
  <c r="C19" i="26"/>
  <c r="K27" i="25"/>
  <c r="AB27" i="25"/>
  <c r="F35" i="5"/>
  <c r="J8" i="27"/>
  <c r="H49" i="23"/>
  <c r="P15" i="19"/>
  <c r="H26" i="19"/>
  <c r="P26" i="19" s="1"/>
  <c r="D52" i="26"/>
  <c r="J50" i="26"/>
  <c r="B36" i="20"/>
  <c r="J35" i="16"/>
  <c r="U35" i="16" s="1"/>
  <c r="J37" i="16"/>
  <c r="U37" i="16" s="1"/>
  <c r="N74" i="11"/>
  <c r="N63" i="11"/>
  <c r="N62" i="11"/>
  <c r="P60" i="11"/>
  <c r="P55" i="11"/>
  <c r="E20" i="11"/>
  <c r="N60" i="11"/>
  <c r="N57" i="11"/>
  <c r="N28" i="11"/>
  <c r="P27" i="11"/>
  <c r="O18" i="11"/>
  <c r="M13" i="11"/>
  <c r="E24" i="13"/>
  <c r="N77" i="11"/>
  <c r="P75" i="11"/>
  <c r="O54" i="11"/>
  <c r="J65" i="11"/>
  <c r="O65" i="11" s="1"/>
  <c r="P42" i="11"/>
  <c r="O17" i="11"/>
  <c r="N11" i="11"/>
  <c r="G20" i="11"/>
  <c r="B13" i="35"/>
  <c r="B13" i="43"/>
  <c r="L13" i="7"/>
  <c r="C50" i="11"/>
  <c r="E80" i="11"/>
  <c r="N48" i="11"/>
  <c r="P15" i="11"/>
  <c r="D23" i="7"/>
  <c r="D14" i="7"/>
  <c r="J9" i="7"/>
  <c r="M12" i="11"/>
  <c r="I58" i="9"/>
  <c r="C82" i="9"/>
  <c r="F13" i="10"/>
  <c r="L7" i="10"/>
  <c r="D82" i="9"/>
  <c r="J58" i="9"/>
  <c r="F66" i="9"/>
  <c r="L66" i="9" s="1"/>
  <c r="F74" i="9"/>
  <c r="L74" i="9" s="1"/>
  <c r="L62" i="9"/>
  <c r="K42" i="9"/>
  <c r="E58" i="9"/>
  <c r="B25" i="8"/>
  <c r="E25" i="8" s="1"/>
  <c r="E23" i="8"/>
  <c r="E57" i="6"/>
  <c r="D57" i="6"/>
  <c r="T56" i="6"/>
  <c r="AC56" i="6" s="1"/>
  <c r="J48" i="5"/>
  <c r="M15" i="11"/>
  <c r="F9" i="7"/>
  <c r="AA54" i="6"/>
  <c r="R57" i="6"/>
  <c r="U51" i="6"/>
  <c r="AD51" i="6" s="1"/>
  <c r="B11" i="45"/>
  <c r="C29" i="42"/>
  <c r="L12" i="29"/>
  <c r="L13" i="29"/>
  <c r="F41" i="29"/>
  <c r="L41" i="29" s="1"/>
  <c r="L70" i="29"/>
  <c r="L82" i="29"/>
  <c r="F25" i="29"/>
  <c r="L25" i="29" s="1"/>
  <c r="K25" i="29"/>
  <c r="H25" i="27"/>
  <c r="B27" i="27"/>
  <c r="H27" i="27" s="1"/>
  <c r="AC14" i="25"/>
  <c r="L14" i="25"/>
  <c r="J18" i="26"/>
  <c r="D49" i="20"/>
  <c r="D51" i="20" s="1"/>
  <c r="J36" i="20"/>
  <c r="D47" i="20"/>
  <c r="R26" i="16"/>
  <c r="J26" i="16"/>
  <c r="U26" i="16" s="1"/>
  <c r="R18" i="16"/>
  <c r="J18" i="16"/>
  <c r="U18" i="16" s="1"/>
  <c r="N78" i="11"/>
  <c r="E65" i="11"/>
  <c r="P77" i="11"/>
  <c r="P61" i="11"/>
  <c r="P41" i="11"/>
  <c r="P29" i="11"/>
  <c r="L68" i="29"/>
  <c r="L80" i="29"/>
  <c r="L16" i="29"/>
  <c r="K29" i="29"/>
  <c r="L29" i="29"/>
  <c r="J83" i="26"/>
  <c r="D84" i="26"/>
  <c r="J84" i="26" s="1"/>
  <c r="F21" i="29"/>
  <c r="L21" i="29" s="1"/>
  <c r="L10" i="29"/>
  <c r="H99" i="26"/>
  <c r="B98" i="26"/>
  <c r="H98" i="26" s="1"/>
  <c r="L79" i="26"/>
  <c r="F80" i="26"/>
  <c r="L80" i="26" s="1"/>
  <c r="F92" i="26"/>
  <c r="L90" i="26"/>
  <c r="D9" i="27"/>
  <c r="J9" i="27" s="1"/>
  <c r="J39" i="26"/>
  <c r="D41" i="26"/>
  <c r="AC13" i="25"/>
  <c r="L13" i="25"/>
  <c r="K13" i="24"/>
  <c r="F13" i="24"/>
  <c r="L13" i="24" s="1"/>
  <c r="T21" i="17"/>
  <c r="T33" i="17" s="1"/>
  <c r="R24" i="16"/>
  <c r="J24" i="16"/>
  <c r="U24" i="16" s="1"/>
  <c r="R16" i="16"/>
  <c r="J16" i="16"/>
  <c r="U16" i="16" s="1"/>
  <c r="L16" i="31"/>
  <c r="F86" i="29"/>
  <c r="L86" i="29" s="1"/>
  <c r="L74" i="29"/>
  <c r="L26" i="29"/>
  <c r="F39" i="29"/>
  <c r="L39" i="29" s="1"/>
  <c r="K27" i="29"/>
  <c r="L27" i="29"/>
  <c r="K99" i="29"/>
  <c r="F46" i="5"/>
  <c r="L14" i="29"/>
  <c r="K102" i="26"/>
  <c r="F102" i="26"/>
  <c r="L102" i="26" s="1"/>
  <c r="E84" i="26"/>
  <c r="K84" i="26" s="1"/>
  <c r="K82" i="26"/>
  <c r="F82" i="26"/>
  <c r="F43" i="29"/>
  <c r="L43" i="29" s="1"/>
  <c r="AC43" i="25"/>
  <c r="L43" i="25"/>
  <c r="AC15" i="25"/>
  <c r="L15" i="25"/>
  <c r="L41" i="25"/>
  <c r="AC41" i="25"/>
  <c r="AC18" i="25"/>
  <c r="L18" i="25"/>
  <c r="L74" i="26"/>
  <c r="F76" i="26"/>
  <c r="F41" i="26"/>
  <c r="L40" i="26"/>
  <c r="F26" i="26"/>
  <c r="K26" i="26"/>
  <c r="E8" i="27"/>
  <c r="AC25" i="25"/>
  <c r="L25" i="25"/>
  <c r="AC17" i="25"/>
  <c r="L17" i="25"/>
  <c r="AC12" i="25"/>
  <c r="L12" i="25"/>
  <c r="B84" i="26"/>
  <c r="H84" i="26" s="1"/>
  <c r="H83" i="26"/>
  <c r="F29" i="26"/>
  <c r="L29" i="26" s="1"/>
  <c r="K29" i="26"/>
  <c r="H24" i="19"/>
  <c r="P24" i="19" s="1"/>
  <c r="P12" i="19"/>
  <c r="J99" i="26"/>
  <c r="D98" i="26"/>
  <c r="K20" i="22"/>
  <c r="J18" i="21"/>
  <c r="J43" i="16"/>
  <c r="U43" i="16" s="1"/>
  <c r="J36" i="16"/>
  <c r="U36" i="16" s="1"/>
  <c r="D18" i="38"/>
  <c r="D17" i="38"/>
  <c r="D16" i="38"/>
  <c r="D15" i="38"/>
  <c r="D19" i="38"/>
  <c r="M8" i="17"/>
  <c r="F21" i="17"/>
  <c r="J33" i="16"/>
  <c r="U33" i="16" s="1"/>
  <c r="J25" i="16"/>
  <c r="U25" i="16" s="1"/>
  <c r="J17" i="16"/>
  <c r="U17" i="16" s="1"/>
  <c r="G46" i="16"/>
  <c r="R46" i="16" s="1"/>
  <c r="I31" i="16"/>
  <c r="I46" i="16" s="1"/>
  <c r="O31" i="16"/>
  <c r="R22" i="16"/>
  <c r="J22" i="16"/>
  <c r="U22" i="16" s="1"/>
  <c r="D46" i="16"/>
  <c r="O46" i="16" s="1"/>
  <c r="T15" i="16"/>
  <c r="J19" i="13"/>
  <c r="E21" i="13"/>
  <c r="C12" i="12"/>
  <c r="I12" i="12" s="1"/>
  <c r="I11" i="12"/>
  <c r="J15" i="16"/>
  <c r="N70" i="11"/>
  <c r="N76" i="11"/>
  <c r="P74" i="11"/>
  <c r="F35" i="11"/>
  <c r="P72" i="11"/>
  <c r="N55" i="11"/>
  <c r="N47" i="11"/>
  <c r="P33" i="11"/>
  <c r="N26" i="11"/>
  <c r="P25" i="11"/>
  <c r="P14" i="11"/>
  <c r="P70" i="11"/>
  <c r="P46" i="11"/>
  <c r="N44" i="11"/>
  <c r="O33" i="11"/>
  <c r="M32" i="11"/>
  <c r="O31" i="11"/>
  <c r="M30" i="11"/>
  <c r="O29" i="11"/>
  <c r="M28" i="11"/>
  <c r="O27" i="11"/>
  <c r="M26" i="11"/>
  <c r="O25" i="11"/>
  <c r="M24" i="11"/>
  <c r="H35" i="11"/>
  <c r="N18" i="11"/>
  <c r="P13" i="11"/>
  <c r="C20" i="11"/>
  <c r="B11" i="43"/>
  <c r="B11" i="35"/>
  <c r="L11" i="7"/>
  <c r="O57" i="6"/>
  <c r="X54" i="6"/>
  <c r="P54" i="6"/>
  <c r="Y54" i="6" s="1"/>
  <c r="W47" i="6"/>
  <c r="N62" i="6"/>
  <c r="T46" i="6"/>
  <c r="AC46" i="6" s="1"/>
  <c r="AA46" i="6"/>
  <c r="U46" i="6"/>
  <c r="AD46" i="6" s="1"/>
  <c r="O39" i="11"/>
  <c r="J50" i="11"/>
  <c r="O50" i="11" s="1"/>
  <c r="P48" i="11"/>
  <c r="S54" i="6"/>
  <c r="AB50" i="6"/>
  <c r="I80" i="11"/>
  <c r="N69" i="11"/>
  <c r="P58" i="11"/>
  <c r="N58" i="11"/>
  <c r="B82" i="9"/>
  <c r="H58" i="9"/>
  <c r="Q32" i="6"/>
  <c r="Z32" i="6" s="1"/>
  <c r="X32" i="6"/>
  <c r="C32" i="34"/>
  <c r="AA32" i="6"/>
  <c r="U56" i="6"/>
  <c r="AD56" i="6" s="1"/>
  <c r="N43" i="11"/>
  <c r="L24" i="9"/>
  <c r="F33" i="19"/>
  <c r="N33" i="19" s="1"/>
  <c r="Y24" i="6"/>
  <c r="E59" i="26"/>
  <c r="E63" i="26" s="1"/>
  <c r="H57" i="6"/>
  <c r="H62" i="6" s="1"/>
  <c r="U23" i="6"/>
  <c r="AD23" i="6" s="1"/>
  <c r="B10" i="35"/>
  <c r="B10" i="43"/>
  <c r="L10" i="7"/>
  <c r="C27" i="27"/>
  <c r="I27" i="27" s="1"/>
  <c r="I25" i="27"/>
  <c r="H42" i="26"/>
  <c r="C42" i="26"/>
  <c r="L39" i="25"/>
  <c r="AC39" i="25"/>
  <c r="C20" i="26"/>
  <c r="I18" i="26"/>
  <c r="K49" i="26"/>
  <c r="F49" i="26"/>
  <c r="L49" i="26" s="1"/>
  <c r="L36" i="23"/>
  <c r="F49" i="23"/>
  <c r="C47" i="20"/>
  <c r="I36" i="20"/>
  <c r="N61" i="11"/>
  <c r="F58" i="9"/>
  <c r="L42" i="9"/>
  <c r="H16" i="31"/>
  <c r="L73" i="29"/>
  <c r="F85" i="29"/>
  <c r="L85" i="29" s="1"/>
  <c r="L93" i="29"/>
  <c r="F97" i="29"/>
  <c r="L97" i="29" s="1"/>
  <c r="L31" i="29"/>
  <c r="K31" i="29"/>
  <c r="J21" i="27"/>
  <c r="D25" i="27"/>
  <c r="L83" i="29"/>
  <c r="L71" i="29"/>
  <c r="B99" i="29"/>
  <c r="H49" i="29"/>
  <c r="L9" i="28"/>
  <c r="F19" i="28"/>
  <c r="F63" i="29"/>
  <c r="L63" i="29" s="1"/>
  <c r="F96" i="26"/>
  <c r="L96" i="26" s="1"/>
  <c r="L94" i="26"/>
  <c r="K64" i="26"/>
  <c r="F64" i="26"/>
  <c r="L64" i="26" s="1"/>
  <c r="AC42" i="25"/>
  <c r="L42" i="25"/>
  <c r="L30" i="25"/>
  <c r="F33" i="25"/>
  <c r="AC30" i="25"/>
  <c r="K92" i="26"/>
  <c r="L51" i="26"/>
  <c r="I8" i="27"/>
  <c r="L38" i="25"/>
  <c r="AC38" i="25"/>
  <c r="F27" i="25"/>
  <c r="AC24" i="25"/>
  <c r="L24" i="25"/>
  <c r="AC16" i="25"/>
  <c r="L16" i="25"/>
  <c r="AC11" i="25"/>
  <c r="F21" i="25"/>
  <c r="L11" i="25"/>
  <c r="L24" i="22"/>
  <c r="G31" i="5"/>
  <c r="M31" i="5" s="1"/>
  <c r="I49" i="23"/>
  <c r="K24" i="22"/>
  <c r="P9" i="19"/>
  <c r="H22" i="19"/>
  <c r="P22" i="19" s="1"/>
  <c r="H18" i="21"/>
  <c r="L17" i="20"/>
  <c r="F24" i="20"/>
  <c r="L24" i="20" s="1"/>
  <c r="J45" i="20"/>
  <c r="D36" i="19"/>
  <c r="J27" i="16"/>
  <c r="U27" i="16" s="1"/>
  <c r="J19" i="16"/>
  <c r="U19" i="16" s="1"/>
  <c r="R28" i="16"/>
  <c r="J28" i="16"/>
  <c r="U28" i="16" s="1"/>
  <c r="R20" i="16"/>
  <c r="J20" i="16"/>
  <c r="U20" i="16" s="1"/>
  <c r="B12" i="12"/>
  <c r="H12" i="12" s="1"/>
  <c r="H11" i="12"/>
  <c r="J38" i="16"/>
  <c r="U38" i="16" s="1"/>
  <c r="N72" i="11"/>
  <c r="N73" i="11"/>
  <c r="P71" i="11"/>
  <c r="B35" i="11"/>
  <c r="N71" i="11"/>
  <c r="P57" i="11"/>
  <c r="K65" i="11"/>
  <c r="P54" i="11"/>
  <c r="P45" i="11"/>
  <c r="N32" i="11"/>
  <c r="P31" i="11"/>
  <c r="N24" i="11"/>
  <c r="I35" i="11"/>
  <c r="M16" i="11"/>
  <c r="P59" i="11"/>
  <c r="N40" i="11"/>
  <c r="D35" i="11"/>
  <c r="O14" i="11"/>
  <c r="L47" i="6"/>
  <c r="L62" i="6" s="1"/>
  <c r="J62" i="6"/>
  <c r="M47" i="6"/>
  <c r="I50" i="11"/>
  <c r="N39" i="11"/>
  <c r="J20" i="11"/>
  <c r="O69" i="11"/>
  <c r="J80" i="11"/>
  <c r="O80" i="11" s="1"/>
  <c r="O12" i="11"/>
  <c r="M10" i="11"/>
  <c r="E14" i="7"/>
  <c r="K9" i="7"/>
  <c r="E23" i="7"/>
  <c r="Q54" i="6"/>
  <c r="Z54" i="6" s="1"/>
  <c r="AB28" i="6"/>
  <c r="T28" i="6"/>
  <c r="AC28" i="6" s="1"/>
  <c r="L73" i="9"/>
  <c r="E78" i="9"/>
  <c r="K78" i="9" s="1"/>
  <c r="K74" i="9"/>
  <c r="B23" i="7"/>
  <c r="H9" i="7"/>
  <c r="B14" i="7"/>
  <c r="O15" i="11"/>
  <c r="I57" i="6"/>
  <c r="K50" i="11"/>
  <c r="E88" i="26"/>
  <c r="K88" i="26" s="1"/>
  <c r="K86" i="26"/>
  <c r="F86" i="26"/>
  <c r="I24" i="22"/>
  <c r="E35" i="11"/>
  <c r="P17" i="11"/>
  <c r="P78" i="11"/>
  <c r="N59" i="11"/>
  <c r="N46" i="11"/>
  <c r="P16" i="11"/>
  <c r="P9" i="11"/>
  <c r="K20" i="11"/>
  <c r="D47" i="6"/>
  <c r="D62" i="6" s="1"/>
  <c r="B62" i="6"/>
  <c r="E47" i="6"/>
  <c r="I65" i="11"/>
  <c r="G50" i="11"/>
  <c r="K80" i="11"/>
  <c r="P69" i="11"/>
  <c r="G80" i="11"/>
  <c r="E50" i="11"/>
  <c r="J35" i="11"/>
  <c r="N12" i="11"/>
  <c r="D24" i="13"/>
  <c r="O10" i="11"/>
  <c r="H20" i="11"/>
  <c r="B16" i="35"/>
  <c r="B16" i="43"/>
  <c r="L16" i="7"/>
  <c r="AB53" i="6"/>
  <c r="T53" i="6"/>
  <c r="AC53" i="6" s="1"/>
  <c r="AA24" i="6"/>
  <c r="F76" i="9"/>
  <c r="L76" i="9" s="1"/>
  <c r="L64" i="9"/>
  <c r="F18" i="19"/>
  <c r="N18" i="19" s="1"/>
  <c r="N8" i="19"/>
  <c r="F21" i="19"/>
  <c r="K24" i="9"/>
  <c r="B19" i="8"/>
  <c r="E15" i="8"/>
  <c r="C14" i="7"/>
  <c r="I9" i="7"/>
  <c r="C23" i="7"/>
  <c r="O47" i="6"/>
  <c r="Q47" i="6" s="1"/>
  <c r="Z47" i="6" s="1"/>
  <c r="P32" i="6"/>
  <c r="Y32" i="6" s="1"/>
  <c r="N15" i="11"/>
  <c r="U30" i="6"/>
  <c r="AD30" i="6" s="1"/>
  <c r="AB17" i="6"/>
  <c r="S24" i="6"/>
  <c r="AA14" i="6"/>
  <c r="F12" i="7"/>
  <c r="R47" i="6"/>
  <c r="U14" i="6"/>
  <c r="AD14" i="6" s="1"/>
  <c r="T14" i="6"/>
  <c r="AC14" i="6" s="1"/>
  <c r="T50" i="6"/>
  <c r="AC50" i="6" s="1"/>
  <c r="K48" i="5"/>
  <c r="G62" i="6"/>
  <c r="C25" i="13" l="1"/>
  <c r="C10" i="27"/>
  <c r="E30" i="26"/>
  <c r="K30" i="26" s="1"/>
  <c r="F28" i="26"/>
  <c r="K28" i="26"/>
  <c r="H13" i="26"/>
  <c r="B37" i="26"/>
  <c r="F49" i="20"/>
  <c r="B25" i="13"/>
  <c r="C13" i="12"/>
  <c r="B13" i="12"/>
  <c r="N14" i="11"/>
  <c r="N17" i="11"/>
  <c r="I20" i="11"/>
  <c r="O11" i="11"/>
  <c r="P47" i="6"/>
  <c r="Y47" i="6" s="1"/>
  <c r="AB30" i="6"/>
  <c r="T30" i="6"/>
  <c r="AC30" i="6" s="1"/>
  <c r="L18" i="21"/>
  <c r="L13" i="30"/>
  <c r="AC45" i="25"/>
  <c r="G39" i="5"/>
  <c r="M39" i="5" s="1"/>
  <c r="F42" i="29"/>
  <c r="L42" i="29" s="1"/>
  <c r="F38" i="29"/>
  <c r="L38" i="29" s="1"/>
  <c r="AB24" i="6"/>
  <c r="C17" i="7"/>
  <c r="I14" i="7"/>
  <c r="O35" i="11"/>
  <c r="F88" i="26"/>
  <c r="L88" i="26" s="1"/>
  <c r="L86" i="26"/>
  <c r="B28" i="7"/>
  <c r="H23" i="7"/>
  <c r="N35" i="11"/>
  <c r="H13" i="12"/>
  <c r="AC21" i="25"/>
  <c r="L21" i="25"/>
  <c r="G30" i="5"/>
  <c r="L33" i="25"/>
  <c r="AC33" i="25"/>
  <c r="G45" i="5"/>
  <c r="M45" i="5" s="1"/>
  <c r="B12" i="35"/>
  <c r="B12" i="43"/>
  <c r="L12" i="7"/>
  <c r="D11" i="13"/>
  <c r="M20" i="11"/>
  <c r="D25" i="13"/>
  <c r="I24" i="13"/>
  <c r="N65" i="11"/>
  <c r="P50" i="11"/>
  <c r="E28" i="7"/>
  <c r="K23" i="7"/>
  <c r="C30" i="34"/>
  <c r="C30" i="42"/>
  <c r="E11" i="13"/>
  <c r="O20" i="11"/>
  <c r="C12" i="42"/>
  <c r="C12" i="34"/>
  <c r="I10" i="27"/>
  <c r="C14" i="27"/>
  <c r="J25" i="27"/>
  <c r="D27" i="27"/>
  <c r="J27" i="27" s="1"/>
  <c r="C49" i="20"/>
  <c r="C51" i="20" s="1"/>
  <c r="I47" i="20"/>
  <c r="U15" i="16"/>
  <c r="E23" i="13"/>
  <c r="J23" i="13" s="1"/>
  <c r="J21" i="13"/>
  <c r="T31" i="16"/>
  <c r="J31" i="16"/>
  <c r="U31" i="16" s="1"/>
  <c r="D21" i="38"/>
  <c r="J98" i="26"/>
  <c r="E98" i="26"/>
  <c r="L46" i="5"/>
  <c r="F44" i="29"/>
  <c r="L44" i="29" s="1"/>
  <c r="J47" i="20"/>
  <c r="E52" i="5"/>
  <c r="F40" i="29"/>
  <c r="L40" i="29" s="1"/>
  <c r="B9" i="35"/>
  <c r="B9" i="43"/>
  <c r="F14" i="7"/>
  <c r="L9" i="7"/>
  <c r="I82" i="9"/>
  <c r="C87" i="9"/>
  <c r="H36" i="20"/>
  <c r="B47" i="20"/>
  <c r="H68" i="26"/>
  <c r="B69" i="26"/>
  <c r="L33" i="17"/>
  <c r="F21" i="5"/>
  <c r="E19" i="8"/>
  <c r="C14" i="8"/>
  <c r="B17" i="7"/>
  <c r="H14" i="7"/>
  <c r="L49" i="23"/>
  <c r="F85" i="9"/>
  <c r="I42" i="26"/>
  <c r="D42" i="26"/>
  <c r="D43" i="26" s="1"/>
  <c r="K59" i="26"/>
  <c r="S57" i="6"/>
  <c r="AB54" i="6"/>
  <c r="W62" i="6"/>
  <c r="M35" i="11"/>
  <c r="F33" i="17"/>
  <c r="M21" i="17"/>
  <c r="F26" i="15"/>
  <c r="K8" i="27"/>
  <c r="L41" i="26"/>
  <c r="F84" i="26"/>
  <c r="L84" i="26" s="1"/>
  <c r="L82" i="26"/>
  <c r="T54" i="6"/>
  <c r="AC54" i="6" s="1"/>
  <c r="U54" i="6"/>
  <c r="AD54" i="6" s="1"/>
  <c r="L13" i="10"/>
  <c r="B23" i="3"/>
  <c r="D23" i="3" s="1"/>
  <c r="D17" i="7"/>
  <c r="J14" i="7"/>
  <c r="J24" i="13"/>
  <c r="D11" i="12"/>
  <c r="J9" i="12"/>
  <c r="L30" i="15"/>
  <c r="F33" i="15"/>
  <c r="L33" i="15" s="1"/>
  <c r="C28" i="13"/>
  <c r="H25" i="13"/>
  <c r="AA47" i="6"/>
  <c r="R62" i="6"/>
  <c r="H21" i="19"/>
  <c r="H18" i="19"/>
  <c r="P18" i="19" s="1"/>
  <c r="P8" i="19"/>
  <c r="M62" i="6"/>
  <c r="C28" i="7"/>
  <c r="I23" i="7"/>
  <c r="T24" i="6"/>
  <c r="P20" i="11"/>
  <c r="G9" i="5"/>
  <c r="N50" i="11"/>
  <c r="AC27" i="25"/>
  <c r="L27" i="25"/>
  <c r="G35" i="5"/>
  <c r="M35" i="5" s="1"/>
  <c r="H99" i="29"/>
  <c r="I62" i="6"/>
  <c r="O62" i="6"/>
  <c r="Q62" i="6" s="1"/>
  <c r="X47" i="6"/>
  <c r="F28" i="19"/>
  <c r="N21" i="19"/>
  <c r="U24" i="6"/>
  <c r="AD24" i="6" s="1"/>
  <c r="P80" i="11"/>
  <c r="E62" i="6"/>
  <c r="F78" i="9"/>
  <c r="K14" i="7"/>
  <c r="E17" i="7"/>
  <c r="P65" i="11"/>
  <c r="L36" i="19"/>
  <c r="D38" i="19"/>
  <c r="L19" i="28"/>
  <c r="G18" i="5"/>
  <c r="M18" i="5" s="1"/>
  <c r="F51" i="20"/>
  <c r="I20" i="26"/>
  <c r="C33" i="26"/>
  <c r="B87" i="9"/>
  <c r="H82" i="9"/>
  <c r="L76" i="26"/>
  <c r="U57" i="6"/>
  <c r="AD57" i="6" s="1"/>
  <c r="T57" i="6"/>
  <c r="AC57" i="6" s="1"/>
  <c r="AA57" i="6"/>
  <c r="K58" i="9"/>
  <c r="E82" i="9"/>
  <c r="D28" i="7"/>
  <c r="J23" i="7"/>
  <c r="D54" i="26"/>
  <c r="J54" i="26" s="1"/>
  <c r="J52" i="26"/>
  <c r="D10" i="27"/>
  <c r="F87" i="29"/>
  <c r="L87" i="29" s="1"/>
  <c r="L75" i="29"/>
  <c r="B28" i="13"/>
  <c r="G25" i="13"/>
  <c r="L58" i="9"/>
  <c r="T27" i="6"/>
  <c r="AC27" i="6" s="1"/>
  <c r="S32" i="6"/>
  <c r="AB27" i="6"/>
  <c r="U27" i="6"/>
  <c r="AD27" i="6" s="1"/>
  <c r="N80" i="11"/>
  <c r="X57" i="6"/>
  <c r="Q57" i="6"/>
  <c r="Z57" i="6" s="1"/>
  <c r="P57" i="6"/>
  <c r="Y57" i="6" s="1"/>
  <c r="I13" i="12"/>
  <c r="T46" i="16"/>
  <c r="E13" i="15"/>
  <c r="K14" i="24"/>
  <c r="L14" i="24"/>
  <c r="L26" i="26"/>
  <c r="F8" i="27"/>
  <c r="J41" i="26"/>
  <c r="L92" i="26"/>
  <c r="F9" i="5"/>
  <c r="N20" i="11"/>
  <c r="D87" i="9"/>
  <c r="J82" i="9"/>
  <c r="L35" i="5"/>
  <c r="C68" i="26"/>
  <c r="D19" i="26"/>
  <c r="I19" i="26"/>
  <c r="K30" i="15"/>
  <c r="E33" i="15"/>
  <c r="K33" i="15" s="1"/>
  <c r="E35" i="15"/>
  <c r="C43" i="26"/>
  <c r="F30" i="26" l="1"/>
  <c r="L30" i="26" s="1"/>
  <c r="L28" i="26"/>
  <c r="H37" i="26"/>
  <c r="B14" i="26"/>
  <c r="B39" i="26"/>
  <c r="J46" i="16"/>
  <c r="E25" i="13"/>
  <c r="E28" i="13" s="1"/>
  <c r="E54" i="5"/>
  <c r="K54" i="5" s="1"/>
  <c r="K52" i="5"/>
  <c r="F49" i="29"/>
  <c r="L49" i="29" s="1"/>
  <c r="F89" i="29"/>
  <c r="L89" i="29" s="1"/>
  <c r="D68" i="26"/>
  <c r="E19" i="26"/>
  <c r="J19" i="26"/>
  <c r="D20" i="26"/>
  <c r="I33" i="26"/>
  <c r="L78" i="9"/>
  <c r="B17" i="33"/>
  <c r="H33" i="19"/>
  <c r="P33" i="19" s="1"/>
  <c r="AC24" i="6"/>
  <c r="J17" i="7"/>
  <c r="D19" i="7"/>
  <c r="J19" i="7" s="1"/>
  <c r="L26" i="15"/>
  <c r="F35" i="15"/>
  <c r="F14" i="8"/>
  <c r="C19" i="8"/>
  <c r="F19" i="8" s="1"/>
  <c r="B49" i="20"/>
  <c r="B51" i="20" s="1"/>
  <c r="H47" i="20"/>
  <c r="B14" i="35"/>
  <c r="B17" i="35" s="1"/>
  <c r="B19" i="35" s="1"/>
  <c r="B27" i="33" s="1"/>
  <c r="C19" i="7"/>
  <c r="I19" i="7" s="1"/>
  <c r="I17" i="7"/>
  <c r="E7" i="14"/>
  <c r="L9" i="5"/>
  <c r="F10" i="5"/>
  <c r="C57" i="26"/>
  <c r="I57" i="26" s="1"/>
  <c r="I43" i="26"/>
  <c r="D57" i="26"/>
  <c r="J57" i="26" s="1"/>
  <c r="J43" i="26"/>
  <c r="L8" i="27"/>
  <c r="E16" i="24"/>
  <c r="K11" i="24"/>
  <c r="E9" i="24"/>
  <c r="AB32" i="6"/>
  <c r="U32" i="6"/>
  <c r="AD32" i="6" s="1"/>
  <c r="T32" i="6"/>
  <c r="AC32" i="6" s="1"/>
  <c r="F82" i="9"/>
  <c r="G28" i="13"/>
  <c r="B14" i="13"/>
  <c r="J10" i="27"/>
  <c r="D14" i="27"/>
  <c r="X62" i="6"/>
  <c r="AA62" i="6"/>
  <c r="H28" i="13"/>
  <c r="C14" i="13"/>
  <c r="D13" i="12"/>
  <c r="J11" i="12"/>
  <c r="AB57" i="6"/>
  <c r="E42" i="26"/>
  <c r="J42" i="26"/>
  <c r="F17" i="7"/>
  <c r="L14" i="7"/>
  <c r="F98" i="26"/>
  <c r="E100" i="26"/>
  <c r="K98" i="26"/>
  <c r="B11" i="37"/>
  <c r="C29" i="34"/>
  <c r="E12" i="13"/>
  <c r="J11" i="13"/>
  <c r="K28" i="7"/>
  <c r="E31" i="7"/>
  <c r="F59" i="26"/>
  <c r="K82" i="9"/>
  <c r="E87" i="9"/>
  <c r="I68" i="26"/>
  <c r="C69" i="26"/>
  <c r="K35" i="15"/>
  <c r="E18" i="15"/>
  <c r="K13" i="15"/>
  <c r="E16" i="15"/>
  <c r="K16" i="15" s="1"/>
  <c r="P62" i="6"/>
  <c r="E11" i="12"/>
  <c r="K9" i="12"/>
  <c r="J28" i="7"/>
  <c r="D31" i="7"/>
  <c r="K17" i="7"/>
  <c r="E19" i="7"/>
  <c r="K19" i="7" s="1"/>
  <c r="C31" i="7"/>
  <c r="I28" i="7"/>
  <c r="M33" i="17"/>
  <c r="G21" i="5"/>
  <c r="M21" i="5" s="1"/>
  <c r="K63" i="26"/>
  <c r="E65" i="26"/>
  <c r="H69" i="26"/>
  <c r="B72" i="26"/>
  <c r="H72" i="26" s="1"/>
  <c r="C16" i="27"/>
  <c r="I14" i="27"/>
  <c r="S47" i="6"/>
  <c r="L38" i="19"/>
  <c r="N28" i="19"/>
  <c r="F7" i="14"/>
  <c r="M9" i="5"/>
  <c r="G10" i="5"/>
  <c r="H28" i="19"/>
  <c r="P21" i="19"/>
  <c r="Z62" i="6"/>
  <c r="B19" i="7"/>
  <c r="H19" i="7" s="1"/>
  <c r="H17" i="7"/>
  <c r="L21" i="5"/>
  <c r="B14" i="43"/>
  <c r="B17" i="43" s="1"/>
  <c r="B19" i="43" s="1"/>
  <c r="B27" i="41" s="1"/>
  <c r="U46" i="16"/>
  <c r="J61" i="16"/>
  <c r="U61" i="16" s="1"/>
  <c r="F13" i="15"/>
  <c r="F9" i="15" s="1"/>
  <c r="D28" i="13"/>
  <c r="I25" i="13"/>
  <c r="D12" i="13"/>
  <c r="I11" i="13"/>
  <c r="M30" i="5"/>
  <c r="G51" i="5"/>
  <c r="B31" i="7"/>
  <c r="H28" i="7"/>
  <c r="F99" i="29" l="1"/>
  <c r="G46" i="5" s="1"/>
  <c r="M46" i="5" s="1"/>
  <c r="H14" i="26"/>
  <c r="B16" i="26"/>
  <c r="B9" i="27"/>
  <c r="H9" i="27" s="1"/>
  <c r="B41" i="26"/>
  <c r="H39" i="26"/>
  <c r="B20" i="3"/>
  <c r="D20" i="3" s="1"/>
  <c r="M51" i="5"/>
  <c r="J25" i="13"/>
  <c r="L9" i="15"/>
  <c r="I69" i="26"/>
  <c r="C72" i="26"/>
  <c r="I72" i="26" s="1"/>
  <c r="J12" i="13"/>
  <c r="C11" i="34"/>
  <c r="C11" i="42"/>
  <c r="M10" i="5"/>
  <c r="S62" i="6"/>
  <c r="AB47" i="6"/>
  <c r="T47" i="6"/>
  <c r="U47" i="6"/>
  <c r="AD47" i="6" s="1"/>
  <c r="C31" i="27"/>
  <c r="I16" i="27"/>
  <c r="I31" i="7"/>
  <c r="C33" i="7"/>
  <c r="I33" i="7" s="1"/>
  <c r="D33" i="7"/>
  <c r="J33" i="7" s="1"/>
  <c r="J31" i="7"/>
  <c r="K31" i="7"/>
  <c r="E33" i="7"/>
  <c r="K33" i="7" s="1"/>
  <c r="F100" i="26"/>
  <c r="L98" i="26"/>
  <c r="K42" i="26"/>
  <c r="F42" i="26"/>
  <c r="E43" i="26"/>
  <c r="J13" i="12"/>
  <c r="F11" i="5"/>
  <c r="B15" i="13"/>
  <c r="G15" i="13" s="1"/>
  <c r="G14" i="13"/>
  <c r="B12" i="13"/>
  <c r="K16" i="24"/>
  <c r="F23" i="5"/>
  <c r="E18" i="24" s="1"/>
  <c r="J20" i="26"/>
  <c r="D33" i="26"/>
  <c r="P28" i="19"/>
  <c r="L7" i="14"/>
  <c r="F8" i="14"/>
  <c r="F63" i="26"/>
  <c r="L59" i="26"/>
  <c r="I28" i="13"/>
  <c r="D14" i="13"/>
  <c r="J28" i="13"/>
  <c r="E14" i="13"/>
  <c r="K18" i="15"/>
  <c r="F28" i="5"/>
  <c r="C15" i="13"/>
  <c r="H15" i="13" s="1"/>
  <c r="H14" i="13"/>
  <c r="C12" i="13"/>
  <c r="L99" i="29"/>
  <c r="E8" i="14"/>
  <c r="K8" i="14" s="1"/>
  <c r="K7" i="14"/>
  <c r="B33" i="7"/>
  <c r="H33" i="7" s="1"/>
  <c r="H31" i="7"/>
  <c r="I12" i="13"/>
  <c r="L13" i="15"/>
  <c r="F16" i="15"/>
  <c r="L16" i="15" s="1"/>
  <c r="E20" i="27"/>
  <c r="E67" i="26"/>
  <c r="K65" i="26"/>
  <c r="E27" i="20"/>
  <c r="Y62" i="6"/>
  <c r="L17" i="7"/>
  <c r="F19" i="7"/>
  <c r="J14" i="27"/>
  <c r="D16" i="27"/>
  <c r="F87" i="9"/>
  <c r="B24" i="3" s="1"/>
  <c r="D24" i="3" s="1"/>
  <c r="L82" i="9"/>
  <c r="K9" i="24"/>
  <c r="F9" i="24"/>
  <c r="L10" i="5"/>
  <c r="L35" i="15"/>
  <c r="E20" i="26"/>
  <c r="K19" i="26"/>
  <c r="F19" i="26"/>
  <c r="E13" i="12"/>
  <c r="K11" i="12"/>
  <c r="K100" i="26"/>
  <c r="E68" i="26"/>
  <c r="J68" i="26"/>
  <c r="D69" i="26"/>
  <c r="C105" i="26" l="1"/>
  <c r="I105" i="26" s="1"/>
  <c r="B43" i="26"/>
  <c r="B57" i="26" s="1"/>
  <c r="H41" i="26"/>
  <c r="B8" i="27"/>
  <c r="H16" i="26"/>
  <c r="B18" i="26"/>
  <c r="L19" i="26"/>
  <c r="F20" i="26"/>
  <c r="L9" i="24"/>
  <c r="D31" i="27"/>
  <c r="J16" i="27"/>
  <c r="K67" i="26"/>
  <c r="E69" i="26"/>
  <c r="F65" i="26"/>
  <c r="L63" i="26"/>
  <c r="D72" i="26"/>
  <c r="J72" i="26" s="1"/>
  <c r="J69" i="26"/>
  <c r="E21" i="27"/>
  <c r="K20" i="27"/>
  <c r="E15" i="13"/>
  <c r="J14" i="13"/>
  <c r="C14" i="34"/>
  <c r="C15" i="34" s="1"/>
  <c r="C49" i="34" s="1"/>
  <c r="C54" i="34" s="1"/>
  <c r="B9" i="33" s="1"/>
  <c r="B11" i="33" s="1"/>
  <c r="C14" i="42"/>
  <c r="C15" i="42" s="1"/>
  <c r="C49" i="42" s="1"/>
  <c r="C54" i="42" s="1"/>
  <c r="B9" i="41" s="1"/>
  <c r="B11" i="41" s="1"/>
  <c r="L8" i="14"/>
  <c r="J33" i="26"/>
  <c r="D105" i="26"/>
  <c r="L23" i="5"/>
  <c r="B16" i="13"/>
  <c r="G12" i="13"/>
  <c r="B8" i="13"/>
  <c r="L42" i="26"/>
  <c r="F43" i="26"/>
  <c r="E33" i="26"/>
  <c r="K20" i="26"/>
  <c r="L19" i="7"/>
  <c r="B34" i="3"/>
  <c r="D34" i="3" s="1"/>
  <c r="E10" i="26"/>
  <c r="E48" i="26" s="1"/>
  <c r="E43" i="20"/>
  <c r="K43" i="20" s="1"/>
  <c r="E42" i="20"/>
  <c r="K42" i="20" s="1"/>
  <c r="E41" i="20"/>
  <c r="K41" i="20" s="1"/>
  <c r="E40" i="20"/>
  <c r="K40" i="20" s="1"/>
  <c r="E39" i="20"/>
  <c r="K39" i="20" s="1"/>
  <c r="K27" i="20"/>
  <c r="E38" i="20"/>
  <c r="L28" i="5"/>
  <c r="I31" i="27"/>
  <c r="AB62" i="6"/>
  <c r="U62" i="6"/>
  <c r="K68" i="26"/>
  <c r="F68" i="26"/>
  <c r="L68" i="26" s="1"/>
  <c r="K13" i="12"/>
  <c r="G11" i="5"/>
  <c r="C16" i="13"/>
  <c r="H12" i="13"/>
  <c r="C8" i="13"/>
  <c r="D15" i="13"/>
  <c r="I14" i="13"/>
  <c r="L11" i="5"/>
  <c r="K43" i="26"/>
  <c r="L100" i="26"/>
  <c r="AC47" i="6"/>
  <c r="T62" i="6"/>
  <c r="F18" i="15"/>
  <c r="H8" i="27" l="1"/>
  <c r="B10" i="27"/>
  <c r="B20" i="26"/>
  <c r="H18" i="26"/>
  <c r="H57" i="26"/>
  <c r="H43" i="26"/>
  <c r="F27" i="20"/>
  <c r="AC62" i="6"/>
  <c r="M11" i="5"/>
  <c r="H16" i="13"/>
  <c r="AD62" i="6"/>
  <c r="L18" i="15"/>
  <c r="F21" i="15"/>
  <c r="G28" i="5"/>
  <c r="M28" i="5" s="1"/>
  <c r="I15" i="13"/>
  <c r="D16" i="13"/>
  <c r="L43" i="26"/>
  <c r="G16" i="13"/>
  <c r="K69" i="26"/>
  <c r="E72" i="26"/>
  <c r="K72" i="26" s="1"/>
  <c r="F16" i="24"/>
  <c r="L11" i="24"/>
  <c r="H8" i="13"/>
  <c r="C10" i="13"/>
  <c r="H10" i="13" s="1"/>
  <c r="J15" i="13"/>
  <c r="E16" i="13"/>
  <c r="B15" i="41"/>
  <c r="K10" i="26"/>
  <c r="K33" i="26"/>
  <c r="B10" i="13"/>
  <c r="G10" i="13" s="1"/>
  <c r="G8" i="13"/>
  <c r="F33" i="26"/>
  <c r="L20" i="26"/>
  <c r="E45" i="20"/>
  <c r="K38" i="20"/>
  <c r="B15" i="33"/>
  <c r="J105" i="26"/>
  <c r="E25" i="27"/>
  <c r="K21" i="27"/>
  <c r="F67" i="26"/>
  <c r="F20" i="27"/>
  <c r="L65" i="26"/>
  <c r="J31" i="27"/>
  <c r="B33" i="26" l="1"/>
  <c r="H20" i="26"/>
  <c r="H10" i="27"/>
  <c r="B14" i="27"/>
  <c r="B18" i="41"/>
  <c r="B20" i="41" s="1"/>
  <c r="B25" i="41" s="1"/>
  <c r="F69" i="26"/>
  <c r="L67" i="26"/>
  <c r="K45" i="20"/>
  <c r="F36" i="19"/>
  <c r="E47" i="20"/>
  <c r="L16" i="24"/>
  <c r="G23" i="5"/>
  <c r="M23" i="5" s="1"/>
  <c r="I16" i="13"/>
  <c r="F12" i="5"/>
  <c r="K25" i="27"/>
  <c r="E27" i="27"/>
  <c r="K27" i="27" s="1"/>
  <c r="B18" i="33"/>
  <c r="B20" i="33" s="1"/>
  <c r="B25" i="33" s="1"/>
  <c r="E50" i="26"/>
  <c r="K48" i="26"/>
  <c r="F21" i="27"/>
  <c r="L20" i="27"/>
  <c r="L33" i="26"/>
  <c r="J16" i="13"/>
  <c r="G12" i="5"/>
  <c r="F10" i="26"/>
  <c r="F43" i="20"/>
  <c r="L43" i="20" s="1"/>
  <c r="F41" i="20"/>
  <c r="L41" i="20" s="1"/>
  <c r="L27" i="20"/>
  <c r="F39" i="20"/>
  <c r="L39" i="20" s="1"/>
  <c r="F40" i="20"/>
  <c r="L40" i="20" s="1"/>
  <c r="F42" i="20"/>
  <c r="L42" i="20" s="1"/>
  <c r="F38" i="20"/>
  <c r="B16" i="27" l="1"/>
  <c r="H14" i="27"/>
  <c r="B105" i="26"/>
  <c r="H33" i="26"/>
  <c r="F18" i="24"/>
  <c r="E9" i="27"/>
  <c r="K50" i="26"/>
  <c r="E52" i="26"/>
  <c r="B20" i="35"/>
  <c r="L10" i="26"/>
  <c r="F48" i="26"/>
  <c r="F45" i="20"/>
  <c r="L38" i="20"/>
  <c r="M12" i="5"/>
  <c r="G14" i="5"/>
  <c r="B20" i="43"/>
  <c r="K47" i="20"/>
  <c r="F52" i="5"/>
  <c r="L52" i="5" s="1"/>
  <c r="F72" i="26"/>
  <c r="L72" i="26" s="1"/>
  <c r="L69" i="26"/>
  <c r="F25" i="27"/>
  <c r="L21" i="27"/>
  <c r="L12" i="5"/>
  <c r="F14" i="5"/>
  <c r="N36" i="19"/>
  <c r="F38" i="19"/>
  <c r="H105" i="26" l="1"/>
  <c r="B31" i="27"/>
  <c r="H16" i="27"/>
  <c r="L14" i="5"/>
  <c r="L25" i="27"/>
  <c r="F27" i="27"/>
  <c r="L27" i="27" s="1"/>
  <c r="M14" i="5"/>
  <c r="L48" i="26"/>
  <c r="F50" i="26"/>
  <c r="K52" i="26"/>
  <c r="E54" i="26"/>
  <c r="N38" i="19"/>
  <c r="F26" i="5"/>
  <c r="B32" i="43"/>
  <c r="B29" i="43"/>
  <c r="B24" i="43"/>
  <c r="B27" i="43"/>
  <c r="B25" i="43"/>
  <c r="B30" i="43"/>
  <c r="B26" i="43"/>
  <c r="B23" i="43"/>
  <c r="L45" i="20"/>
  <c r="H36" i="19"/>
  <c r="F47" i="20"/>
  <c r="B32" i="35"/>
  <c r="B29" i="35"/>
  <c r="B30" i="35"/>
  <c r="B25" i="35"/>
  <c r="B24" i="35"/>
  <c r="B27" i="35"/>
  <c r="B23" i="35"/>
  <c r="B26" i="35"/>
  <c r="K9" i="27"/>
  <c r="E10" i="27"/>
  <c r="H31" i="27" l="1"/>
  <c r="K54" i="26"/>
  <c r="E57" i="26"/>
  <c r="B28" i="35"/>
  <c r="B31" i="35" s="1"/>
  <c r="B33" i="35" s="1"/>
  <c r="P36" i="19"/>
  <c r="H38" i="19"/>
  <c r="E14" i="27"/>
  <c r="K10" i="27"/>
  <c r="B28" i="43"/>
  <c r="B31" i="43" s="1"/>
  <c r="B33" i="43" s="1"/>
  <c r="L26" i="5"/>
  <c r="L47" i="20"/>
  <c r="G52" i="5"/>
  <c r="L50" i="26"/>
  <c r="F9" i="27"/>
  <c r="F52" i="26"/>
  <c r="B19" i="3" l="1"/>
  <c r="D19" i="3" s="1"/>
  <c r="M52" i="5"/>
  <c r="F54" i="26"/>
  <c r="L52" i="26"/>
  <c r="L9" i="27"/>
  <c r="F10" i="27"/>
  <c r="K14" i="27"/>
  <c r="E16" i="27"/>
  <c r="K57" i="26"/>
  <c r="E105" i="26"/>
  <c r="P38" i="19"/>
  <c r="G26" i="5"/>
  <c r="M26" i="5" s="1"/>
  <c r="F52" i="20" l="1"/>
  <c r="L54" i="26"/>
  <c r="F57" i="26"/>
  <c r="K16" i="27"/>
  <c r="E31" i="27"/>
  <c r="K105" i="26"/>
  <c r="F24" i="5"/>
  <c r="F14" i="27"/>
  <c r="L10" i="27"/>
  <c r="L14" i="27" l="1"/>
  <c r="F16" i="27"/>
  <c r="L57" i="26"/>
  <c r="F105" i="26"/>
  <c r="L24" i="5"/>
  <c r="K31" i="27"/>
  <c r="F16" i="5"/>
  <c r="L16" i="5" l="1"/>
  <c r="F31" i="27"/>
  <c r="L16" i="27"/>
  <c r="L105" i="26"/>
  <c r="G24" i="5"/>
  <c r="M24" i="5" s="1"/>
  <c r="L31" i="27" l="1"/>
  <c r="G16" i="5"/>
  <c r="M16" i="5" l="1"/>
  <c r="G48" i="5"/>
  <c r="M48" i="5" l="1"/>
  <c r="G54" i="5"/>
  <c r="B8" i="3" l="1"/>
  <c r="B10" i="3" s="1"/>
  <c r="M54" i="5"/>
  <c r="D8" i="3" l="1"/>
  <c r="D10" i="3"/>
  <c r="B14" i="3"/>
  <c r="D14" i="3" l="1"/>
  <c r="D36" i="3"/>
  <c r="B39" i="3"/>
  <c r="D39" i="3" l="1"/>
  <c r="B25" i="3"/>
  <c r="D37" i="3"/>
  <c r="D25" i="3" l="1"/>
  <c r="B27" i="3"/>
  <c r="B32" i="3" l="1"/>
  <c r="D27" i="3"/>
  <c r="B24" i="33" l="1"/>
  <c r="B22" i="33" s="1"/>
  <c r="B24" i="41"/>
  <c r="B22" i="41" s="1"/>
  <c r="D32" i="3"/>
  <c r="E8" i="2"/>
  <c r="F20" i="7"/>
  <c r="B29" i="3"/>
  <c r="D29" i="3" s="1"/>
  <c r="L20" i="7" l="1"/>
  <c r="F32" i="7"/>
  <c r="L32" i="7" s="1"/>
  <c r="F29" i="7"/>
  <c r="L29" i="7" s="1"/>
  <c r="F24" i="7"/>
  <c r="L24" i="7" s="1"/>
  <c r="F27" i="7"/>
  <c r="L27" i="7" s="1"/>
  <c r="F25" i="7"/>
  <c r="L25" i="7" s="1"/>
  <c r="F30" i="7"/>
  <c r="L30" i="7" s="1"/>
  <c r="F23" i="7"/>
  <c r="F26" i="7"/>
  <c r="L26" i="7" s="1"/>
  <c r="F28" i="7" l="1"/>
  <c r="L23" i="7"/>
  <c r="F31" i="7" l="1"/>
  <c r="L28" i="7"/>
  <c r="F33" i="7" l="1"/>
  <c r="L33" i="7" s="1"/>
  <c r="L31" i="7"/>
  <c r="K12" i="31"/>
  <c r="F19" i="5"/>
  <c r="F48" i="5" s="1"/>
  <c r="K10" i="31"/>
  <c r="F43" i="5"/>
  <c r="L43" i="5" s="1"/>
  <c r="F25" i="5"/>
  <c r="L25" i="5" s="1"/>
  <c r="K11" i="31"/>
  <c r="K14" i="31"/>
  <c r="F27" i="5"/>
  <c r="L27" i="5" s="1"/>
  <c r="K13" i="31"/>
  <c r="F22" i="5"/>
  <c r="L22" i="5" s="1"/>
  <c r="K9" i="31"/>
  <c r="F20" i="5"/>
  <c r="L20" i="5" s="1"/>
  <c r="E16" i="31"/>
  <c r="K16" i="31" s="1"/>
  <c r="L48" i="5" l="1"/>
  <c r="F54" i="5"/>
  <c r="L54" i="5" s="1"/>
  <c r="L19" i="5"/>
</calcChain>
</file>

<file path=xl/sharedStrings.xml><?xml version="1.0" encoding="utf-8"?>
<sst xmlns="http://schemas.openxmlformats.org/spreadsheetml/2006/main" count="3752" uniqueCount="719">
  <si>
    <t>Recology San Francisco</t>
  </si>
  <si>
    <t>Rate Schedules</t>
  </si>
  <si>
    <t>Description</t>
  </si>
  <si>
    <t>Schedule</t>
  </si>
  <si>
    <t>Processing and Disposal Rates</t>
  </si>
  <si>
    <t>A</t>
  </si>
  <si>
    <t xml:space="preserve">Rate Calculations - Processing and Disposal </t>
  </si>
  <si>
    <t>B</t>
  </si>
  <si>
    <t>Summary of Significant Assumptions</t>
  </si>
  <si>
    <t>C</t>
  </si>
  <si>
    <t>Total Operating Expenses</t>
  </si>
  <si>
    <t>D</t>
  </si>
  <si>
    <t>Tonnage</t>
  </si>
  <si>
    <t>E</t>
  </si>
  <si>
    <t>Historical and Projected Tipping Charge Revenues</t>
  </si>
  <si>
    <t>F.1</t>
  </si>
  <si>
    <t>Impound Account</t>
  </si>
  <si>
    <t>F.2</t>
  </si>
  <si>
    <t>Recycling Revenue</t>
  </si>
  <si>
    <t>F.3</t>
  </si>
  <si>
    <t>Other Revenue</t>
  </si>
  <si>
    <t>F.4</t>
  </si>
  <si>
    <t>Payroll Headcount and Expenses</t>
  </si>
  <si>
    <t>G.1</t>
  </si>
  <si>
    <t>Employee Pension Expenses</t>
  </si>
  <si>
    <t>G.2</t>
  </si>
  <si>
    <t>Health Insurance and Postretirement Expenses</t>
  </si>
  <si>
    <t>G.3</t>
  </si>
  <si>
    <t>Workers Compensation Expenses</t>
  </si>
  <si>
    <t>G.4</t>
  </si>
  <si>
    <t>Depreciation and Lease Expenses</t>
  </si>
  <si>
    <t>H.1</t>
  </si>
  <si>
    <t>Detailed Capital Items and Lease Expenses</t>
  </si>
  <si>
    <t>H.2</t>
  </si>
  <si>
    <t>Depreciation Expenses</t>
  </si>
  <si>
    <t>H.3</t>
  </si>
  <si>
    <t>Insurance Expenses</t>
  </si>
  <si>
    <t>I</t>
  </si>
  <si>
    <t>Intercompany Processing and Disposal Expenses</t>
  </si>
  <si>
    <t>J.1</t>
  </si>
  <si>
    <t>Landfill Disposal Expenses</t>
  </si>
  <si>
    <t>J.2</t>
  </si>
  <si>
    <t>Disposal Expenses</t>
  </si>
  <si>
    <t>J.3</t>
  </si>
  <si>
    <t>Outside Processing Expenses</t>
  </si>
  <si>
    <t>K.1</t>
  </si>
  <si>
    <t>Recycling Purchases</t>
  </si>
  <si>
    <t>K.2</t>
  </si>
  <si>
    <t>Freight Expenses</t>
  </si>
  <si>
    <t>L.1</t>
  </si>
  <si>
    <t>Repair and License Expenses</t>
  </si>
  <si>
    <t>L.2</t>
  </si>
  <si>
    <t>Fuel Expenses</t>
  </si>
  <si>
    <t>L.3</t>
  </si>
  <si>
    <t>Bridge Toll Expenses</t>
  </si>
  <si>
    <t>L.4</t>
  </si>
  <si>
    <t>Contract Services Expenses</t>
  </si>
  <si>
    <t>L.5</t>
  </si>
  <si>
    <t>Utility Expenses</t>
  </si>
  <si>
    <t>L.6</t>
  </si>
  <si>
    <t>Professional Services Expenses</t>
  </si>
  <si>
    <t>M.1</t>
  </si>
  <si>
    <t>Corporate Services Expenses</t>
  </si>
  <si>
    <t>M.2</t>
  </si>
  <si>
    <t>Contingent Schedule 1 - Integrated Material Recovery Facility</t>
  </si>
  <si>
    <t>CS1</t>
  </si>
  <si>
    <t>Contingent Schedule 2 - Trash Processing</t>
  </si>
  <si>
    <t>CS2</t>
  </si>
  <si>
    <r>
      <t xml:space="preserve">Rate Application, </t>
    </r>
    <r>
      <rPr>
        <u/>
        <sz val="11"/>
        <rFont val="Arial"/>
        <family val="2"/>
      </rPr>
      <t xml:space="preserve">Schedule </t>
    </r>
    <r>
      <rPr>
        <b/>
        <u/>
        <sz val="11"/>
        <rFont val="Arial"/>
        <family val="2"/>
      </rPr>
      <t>A</t>
    </r>
  </si>
  <si>
    <t>RY 2018</t>
  </si>
  <si>
    <t>Current Tipping Charge per Ton</t>
  </si>
  <si>
    <t>Proposed Tipping Charge per Ton</t>
  </si>
  <si>
    <r>
      <t xml:space="preserve">Rate Application, </t>
    </r>
    <r>
      <rPr>
        <u/>
        <sz val="11"/>
        <rFont val="Arial"/>
        <family val="2"/>
      </rPr>
      <t xml:space="preserve">Schedule </t>
    </r>
    <r>
      <rPr>
        <b/>
        <u/>
        <sz val="11"/>
        <rFont val="Arial"/>
        <family val="2"/>
      </rPr>
      <t>B</t>
    </r>
  </si>
  <si>
    <t>Rate Calculations - Processing and Disposal</t>
  </si>
  <si>
    <t>Changes from Submitted Rate Application</t>
  </si>
  <si>
    <t>Draft Rate Application (Submitted)</t>
  </si>
  <si>
    <t>Operating Ratio Expenses</t>
  </si>
  <si>
    <t>Calculated Operating Ratio Expenses</t>
  </si>
  <si>
    <t xml:space="preserve">  Allowed Operating Ratio</t>
  </si>
  <si>
    <t>Operating Expense with Operating Ratio</t>
  </si>
  <si>
    <t>Existing Capital Charge</t>
  </si>
  <si>
    <t>Non Operating Ratio Expense</t>
  </si>
  <si>
    <t>Recology Hay Road Disposal</t>
  </si>
  <si>
    <t>Licenses &amp; Permits</t>
  </si>
  <si>
    <t>Revenue</t>
  </si>
  <si>
    <t>Other Commercial Revenues</t>
  </si>
  <si>
    <t>Recycling Revenues</t>
  </si>
  <si>
    <t>Zero Waste Incentives</t>
  </si>
  <si>
    <t>Net Revenue Requirement</t>
  </si>
  <si>
    <t>Percent Increase</t>
  </si>
  <si>
    <t>Total Revenue Tons</t>
  </si>
  <si>
    <t>Operating Expenses with 89% OR</t>
  </si>
  <si>
    <t>Variance to 91% OR</t>
  </si>
  <si>
    <t>Net Revenue Requirement @ 89% OR</t>
  </si>
  <si>
    <r>
      <t xml:space="preserve">Rate Application, </t>
    </r>
    <r>
      <rPr>
        <u/>
        <sz val="10"/>
        <rFont val="Arial"/>
        <family val="2"/>
      </rPr>
      <t>Schedule C</t>
    </r>
  </si>
  <si>
    <t xml:space="preserve">The Summary of Significant Assumptions has been incorporated into the 2017 Refuse Rate Application
Narrative Rate Summary - Recology San Francisco document included in this application. 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</si>
  <si>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D</t>
    </r>
  </si>
  <si>
    <t>Inflation</t>
  </si>
  <si>
    <t xml:space="preserve">Actual </t>
  </si>
  <si>
    <t>RY 2017</t>
  </si>
  <si>
    <t xml:space="preserve"> Item Description       </t>
  </si>
  <si>
    <t>Sch Ref</t>
  </si>
  <si>
    <t>RY 2014</t>
  </si>
  <si>
    <t>RY 2015</t>
  </si>
  <si>
    <t>RY 2016</t>
  </si>
  <si>
    <t>Projected Expense</t>
  </si>
  <si>
    <t xml:space="preserve">       Item Description       </t>
  </si>
  <si>
    <t xml:space="preserve">  Payroll                     </t>
  </si>
  <si>
    <t xml:space="preserve">  Payroll Taxes               </t>
  </si>
  <si>
    <t xml:space="preserve">  Pension                     </t>
  </si>
  <si>
    <t xml:space="preserve">  Health Insurance            </t>
  </si>
  <si>
    <t xml:space="preserve">  Workers Compensation        </t>
  </si>
  <si>
    <t xml:space="preserve">   Total Payroll &amp; Related         </t>
  </si>
  <si>
    <t xml:space="preserve">  Bad Debt                    </t>
  </si>
  <si>
    <t xml:space="preserve">  Bridge Tolls</t>
  </si>
  <si>
    <t xml:space="preserve">  Building &amp; Facility Repair    </t>
  </si>
  <si>
    <t xml:space="preserve">  Contract Services </t>
  </si>
  <si>
    <t xml:space="preserve">  Corporate Accounting Services</t>
  </si>
  <si>
    <t xml:space="preserve">  Corporate Management</t>
  </si>
  <si>
    <t xml:space="preserve">  Depreciation</t>
  </si>
  <si>
    <t xml:space="preserve">  Environmental Compliance </t>
  </si>
  <si>
    <t xml:space="preserve">  Freight </t>
  </si>
  <si>
    <t xml:space="preserve">  Fuel</t>
  </si>
  <si>
    <t xml:space="preserve">  Human Resources </t>
  </si>
  <si>
    <t xml:space="preserve">  I/C Processing &amp; Disposal             </t>
  </si>
  <si>
    <t xml:space="preserve">  IT Services</t>
  </si>
  <si>
    <t xml:space="preserve">  Lease </t>
  </si>
  <si>
    <t xml:space="preserve">  Liability Insurance         </t>
  </si>
  <si>
    <t xml:space="preserve">  Licenses &amp; Permits        </t>
  </si>
  <si>
    <t xml:space="preserve">  O/S Disposal </t>
  </si>
  <si>
    <t>J.2, J.3</t>
  </si>
  <si>
    <t xml:space="preserve">  O/S Equipment Rental</t>
  </si>
  <si>
    <t xml:space="preserve">  O/S Processing</t>
  </si>
  <si>
    <t xml:space="preserve">  Office               </t>
  </si>
  <si>
    <t xml:space="preserve">  Parts                       </t>
  </si>
  <si>
    <t xml:space="preserve">  Postage                     </t>
  </si>
  <si>
    <t xml:space="preserve">  Professional Services       </t>
  </si>
  <si>
    <t xml:space="preserve">  Property Rental             </t>
  </si>
  <si>
    <t xml:space="preserve">  Repairs &amp; Maintenance</t>
  </si>
  <si>
    <t xml:space="preserve">  Security &amp; Janitorial       </t>
  </si>
  <si>
    <t xml:space="preserve">  Supplies                    </t>
  </si>
  <si>
    <t xml:space="preserve">  Taxes                       </t>
  </si>
  <si>
    <t xml:space="preserve">  Technology</t>
  </si>
  <si>
    <t>*</t>
  </si>
  <si>
    <t xml:space="preserve">  Sustainability</t>
  </si>
  <si>
    <t xml:space="preserve">  Telephone                   </t>
  </si>
  <si>
    <t xml:space="preserve">  Tires &amp; Tubes               </t>
  </si>
  <si>
    <t xml:space="preserve">  Utilities                   </t>
  </si>
  <si>
    <t xml:space="preserve">  Other               </t>
  </si>
  <si>
    <t xml:space="preserve"> Total Operating Expenses</t>
  </si>
  <si>
    <t>Non Operating Ratio Expenses</t>
  </si>
  <si>
    <t>Disposal</t>
  </si>
  <si>
    <r>
      <t xml:space="preserve">Rate Application, Schedule </t>
    </r>
    <r>
      <rPr>
        <b/>
        <u/>
        <sz val="10"/>
        <rFont val="Arial"/>
        <family val="2"/>
      </rPr>
      <t>E</t>
    </r>
  </si>
  <si>
    <t>Actual RY 2014</t>
  </si>
  <si>
    <t>Actual RY 2015</t>
  </si>
  <si>
    <t>Actual RY 2016</t>
  </si>
  <si>
    <t>Projected RY 2017</t>
  </si>
  <si>
    <t>Projected RY 2018</t>
  </si>
  <si>
    <t>Received</t>
  </si>
  <si>
    <t>Diverted</t>
  </si>
  <si>
    <t>Disposed</t>
  </si>
  <si>
    <t>% Diverted</t>
  </si>
  <si>
    <t>Tunnel Avenue Trash</t>
  </si>
  <si>
    <t>Tunnel &amp; Beatty Trash</t>
  </si>
  <si>
    <t xml:space="preserve">   Fantastic 3</t>
  </si>
  <si>
    <t xml:space="preserve">   Commercial</t>
  </si>
  <si>
    <t xml:space="preserve">   Roll-off</t>
  </si>
  <si>
    <t xml:space="preserve">   Bulky Item Recycling</t>
  </si>
  <si>
    <t xml:space="preserve">   Abandoned Materials</t>
  </si>
  <si>
    <t xml:space="preserve">   Bulky Item</t>
  </si>
  <si>
    <t>Total Trash</t>
  </si>
  <si>
    <t>Tunnel Avenue Compostables</t>
  </si>
  <si>
    <t>Tunnel &amp; Beatty Compostables</t>
  </si>
  <si>
    <t xml:space="preserve">   Commercial Customers</t>
  </si>
  <si>
    <t xml:space="preserve">   San Francisco Public Works</t>
  </si>
  <si>
    <t xml:space="preserve">   Department of Public Works</t>
  </si>
  <si>
    <t xml:space="preserve">   Other City of San Francisco Departments</t>
  </si>
  <si>
    <t xml:space="preserve">   Public Customers</t>
  </si>
  <si>
    <t>Total Compostables</t>
  </si>
  <si>
    <r>
      <rPr>
        <b/>
        <i/>
        <u/>
        <sz val="10"/>
        <rFont val="Arial"/>
        <family val="2"/>
      </rPr>
      <t>i</t>
    </r>
    <r>
      <rPr>
        <b/>
        <u/>
        <sz val="10"/>
        <rFont val="Arial"/>
        <family val="2"/>
      </rPr>
      <t>MRF</t>
    </r>
  </si>
  <si>
    <t>iMRF</t>
  </si>
  <si>
    <r>
      <t xml:space="preserve">Total </t>
    </r>
    <r>
      <rPr>
        <b/>
        <i/>
        <sz val="10"/>
        <rFont val="Arial"/>
        <family val="2"/>
      </rPr>
      <t>i</t>
    </r>
    <r>
      <rPr>
        <b/>
        <sz val="10"/>
        <rFont val="Arial"/>
        <family val="2"/>
      </rPr>
      <t>MRF</t>
    </r>
  </si>
  <si>
    <t>Total iMRF</t>
  </si>
  <si>
    <t>Tunnel Avenue Other</t>
  </si>
  <si>
    <t>Tunnel &amp; Beatty Other</t>
  </si>
  <si>
    <t xml:space="preserve">   Public Refuse Receptacles Allocation</t>
  </si>
  <si>
    <t xml:space="preserve">   City Cans Allocation</t>
  </si>
  <si>
    <t xml:space="preserve">   Inerts</t>
  </si>
  <si>
    <t xml:space="preserve">   Construction Material Reuse</t>
  </si>
  <si>
    <t xml:space="preserve">   Tires</t>
  </si>
  <si>
    <t xml:space="preserve">   Other Recycling</t>
  </si>
  <si>
    <t>Total Other</t>
  </si>
  <si>
    <t>Total Tunnel Avenue</t>
  </si>
  <si>
    <t>Total Tunnel &amp; Beatty</t>
  </si>
  <si>
    <t>Recycle Central Recyclables</t>
  </si>
  <si>
    <t xml:space="preserve">   Source Separated</t>
  </si>
  <si>
    <t xml:space="preserve">   Mixed Commercial </t>
  </si>
  <si>
    <t xml:space="preserve">   Mixed Paper </t>
  </si>
  <si>
    <t>Total Recyclables</t>
  </si>
  <si>
    <t>Other Sources - Source Separated</t>
  </si>
  <si>
    <t>Total Recycle Central Recyclables</t>
  </si>
  <si>
    <t>Sustainable Crushing</t>
  </si>
  <si>
    <t>Direct Material Recycling - Debris Box Collection</t>
  </si>
  <si>
    <t>Adjustments (Inventory, moisture, etc)</t>
  </si>
  <si>
    <t>Total Tons</t>
  </si>
  <si>
    <t>Total</t>
  </si>
  <si>
    <r>
      <t xml:space="preserve">Rate Application, Schedule </t>
    </r>
    <r>
      <rPr>
        <b/>
        <u/>
        <sz val="10"/>
        <color theme="1"/>
        <rFont val="Arial"/>
        <family val="2"/>
      </rPr>
      <t>F.1</t>
    </r>
  </si>
  <si>
    <t>Actual</t>
  </si>
  <si>
    <t>Projection</t>
  </si>
  <si>
    <t>Rate Application</t>
  </si>
  <si>
    <t>Tonnage Charged</t>
  </si>
  <si>
    <t>Tonnage Charged by Tipping Fee</t>
  </si>
  <si>
    <t>Recology Sunset Scavenger/Golden Gate</t>
  </si>
  <si>
    <t xml:space="preserve">  Recycle Central</t>
  </si>
  <si>
    <t xml:space="preserve">  Compostables</t>
  </si>
  <si>
    <t xml:space="preserve">  Organics</t>
  </si>
  <si>
    <r>
      <t xml:space="preserve">  </t>
    </r>
    <r>
      <rPr>
        <i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>MRF</t>
    </r>
  </si>
  <si>
    <t xml:space="preserve">  iMRF</t>
  </si>
  <si>
    <t xml:space="preserve">  Trash</t>
  </si>
  <si>
    <t xml:space="preserve">  Refuse</t>
  </si>
  <si>
    <t xml:space="preserve">  Other</t>
  </si>
  <si>
    <t xml:space="preserve">    Subtotal (Recology Sunset Scavenger/Golden Gate)</t>
  </si>
  <si>
    <t>Public Customers</t>
  </si>
  <si>
    <t>Commercial Customers</t>
  </si>
  <si>
    <t>Total San Francisco Tons</t>
  </si>
  <si>
    <t>Non-San Francisco Tons</t>
  </si>
  <si>
    <t>Total Tons Charged</t>
  </si>
  <si>
    <t>Total Tons Charged by Tipping Fee</t>
  </si>
  <si>
    <t>Rate Per Ton</t>
  </si>
  <si>
    <t>Transfer and Processing Revenue</t>
  </si>
  <si>
    <t>Total San Francisco Revenue from Tipping Charge</t>
  </si>
  <si>
    <t>Total San Francisco Revenue from Tipping Fee</t>
  </si>
  <si>
    <t>Non-San Francisco Revenue from Tipping Charge</t>
  </si>
  <si>
    <t>Non-San Francisco Revenue from Tipping Fee</t>
  </si>
  <si>
    <t>Total Revenue from Tipping Charge</t>
  </si>
  <si>
    <t>Total Revenue from Tipping Fee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</si>
  <si>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F.2</t>
    </r>
  </si>
  <si>
    <t>Changes from Draft</t>
  </si>
  <si>
    <t>Item Description</t>
  </si>
  <si>
    <t>Payments</t>
  </si>
  <si>
    <t>San Francisco Environment</t>
  </si>
  <si>
    <t>San Francisco Public Works</t>
  </si>
  <si>
    <t xml:space="preserve">San Francisco Environment </t>
  </si>
  <si>
    <t xml:space="preserve">Impound Account Disbursement </t>
  </si>
  <si>
    <t>Projected Balance</t>
  </si>
  <si>
    <t>Projected Balance with Fixed and Variable Funding</t>
  </si>
  <si>
    <t>Beginning Balance</t>
  </si>
  <si>
    <t>Disbursement</t>
  </si>
  <si>
    <t>Deposit from Recology San Francisco</t>
  </si>
  <si>
    <t>Interest on ending balance</t>
  </si>
  <si>
    <t>Ending Balance on Impound Account</t>
  </si>
  <si>
    <t>Allocation of Impound Account</t>
  </si>
  <si>
    <t>Sunset Scavenger/Golden Gate</t>
  </si>
  <si>
    <t>Sunset Scavenger Company/Golden Gate Recycling &amp; Disposal Company</t>
  </si>
  <si>
    <t xml:space="preserve">Total Impound Account 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</si>
  <si>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F.3</t>
    </r>
  </si>
  <si>
    <t>Recycle Central</t>
  </si>
  <si>
    <t>Tons</t>
  </si>
  <si>
    <t>Mixed Paper</t>
  </si>
  <si>
    <t>Cardboard</t>
  </si>
  <si>
    <t>White Ledger</t>
  </si>
  <si>
    <t>Coated Book Stock</t>
  </si>
  <si>
    <t>Aluminum</t>
  </si>
  <si>
    <t>Mixed Aluminum</t>
  </si>
  <si>
    <t>Metal/Ferrous</t>
  </si>
  <si>
    <t>PET</t>
  </si>
  <si>
    <t>HDPE Blend</t>
  </si>
  <si>
    <t>Mixed Plastics 3-7</t>
  </si>
  <si>
    <t>Flint Glass</t>
  </si>
  <si>
    <t>Amber Glass</t>
  </si>
  <si>
    <t>Green Glass</t>
  </si>
  <si>
    <t>Mixed Glass</t>
  </si>
  <si>
    <t>Glass Fines</t>
  </si>
  <si>
    <t>Price Per Ton</t>
  </si>
  <si>
    <t>Recycle Central Revenue</t>
  </si>
  <si>
    <t>Other Recycling Operations</t>
  </si>
  <si>
    <t>Metal</t>
  </si>
  <si>
    <t>Wood</t>
  </si>
  <si>
    <t>Mixed Rigid Plastic</t>
  </si>
  <si>
    <t>SB20/50 E-Waste</t>
  </si>
  <si>
    <t>SB20/50 E-Recycling</t>
  </si>
  <si>
    <t>Sustainable Crushing Revenue</t>
  </si>
  <si>
    <t>Miscellaneous Recycling</t>
  </si>
  <si>
    <t>Total Recycling Revenue</t>
  </si>
  <si>
    <t>Processing Expenses</t>
  </si>
  <si>
    <t>Purchases (Schedule K.2)</t>
  </si>
  <si>
    <t>Net Recycling Revenues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</si>
  <si>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F.4</t>
    </r>
  </si>
  <si>
    <t>Non Rate Revenue</t>
  </si>
  <si>
    <t>Non-Rate Revenue</t>
  </si>
  <si>
    <t>Zero Waste Incentive Account</t>
  </si>
  <si>
    <t>Intercompany Dirt, Inerts &amp; Other</t>
  </si>
  <si>
    <t>Intercompany Dirt, Inert Materials &amp; Other</t>
  </si>
  <si>
    <t>Stewardship Income</t>
  </si>
  <si>
    <t>Rental Income</t>
  </si>
  <si>
    <t>Total Other Revenue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</si>
  <si>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G.1</t>
    </r>
  </si>
  <si>
    <t>HC</t>
  </si>
  <si>
    <t>Dollars</t>
  </si>
  <si>
    <t>Additions</t>
  </si>
  <si>
    <t>Total Payroll</t>
  </si>
  <si>
    <t>Exempt Non-Union</t>
  </si>
  <si>
    <t>Non-Exempt Non-Union</t>
  </si>
  <si>
    <t>Union - Clerical</t>
  </si>
  <si>
    <t>Union - Driver/Helper</t>
  </si>
  <si>
    <t>Union - Equipment Operator</t>
  </si>
  <si>
    <t>Union - Shop/Facility</t>
  </si>
  <si>
    <t>Union - Sorter/Material Handler</t>
  </si>
  <si>
    <t>Union - Technician</t>
  </si>
  <si>
    <t>Union - Utility Person</t>
  </si>
  <si>
    <t>Union - Weighmaster/Dispatcher</t>
  </si>
  <si>
    <t>Regular Payroll - FTE</t>
  </si>
  <si>
    <t>Sick, Vacation &amp; Holiday Off</t>
  </si>
  <si>
    <t>Overtime</t>
  </si>
  <si>
    <t>Holiday &amp; Weekend Payroll</t>
  </si>
  <si>
    <t>Hauling</t>
  </si>
  <si>
    <r>
      <rPr>
        <b/>
        <i/>
        <sz val="10"/>
        <rFont val="Arial"/>
        <family val="2"/>
      </rPr>
      <t>i</t>
    </r>
    <r>
      <rPr>
        <b/>
        <sz val="10"/>
        <rFont val="Arial"/>
        <family val="2"/>
      </rPr>
      <t>MRF</t>
    </r>
  </si>
  <si>
    <t>Hazardous Waste</t>
  </si>
  <si>
    <t>Special Waste</t>
  </si>
  <si>
    <t>Transfer Station</t>
  </si>
  <si>
    <t>General &amp; Administrative</t>
  </si>
  <si>
    <t>Truck &amp; Garage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</si>
  <si>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G.2</t>
    </r>
  </si>
  <si>
    <t>Local 3 Pension</t>
  </si>
  <si>
    <t>$/Hour</t>
  </si>
  <si>
    <t>No. of Worked Hours</t>
  </si>
  <si>
    <t>Recology Contributions</t>
  </si>
  <si>
    <t>Total Contributions</t>
  </si>
  <si>
    <t>Oct-Sep
2016</t>
  </si>
  <si>
    <t>Oct-Sep
2017</t>
  </si>
  <si>
    <t>Oct-Sep
2018</t>
  </si>
  <si>
    <t>Oct-Sep
2019</t>
  </si>
  <si>
    <t>Sunset and Golden Gate</t>
  </si>
  <si>
    <t>Other</t>
  </si>
  <si>
    <t xml:space="preserve"> Other</t>
  </si>
  <si>
    <t>Total Recology Contributions</t>
  </si>
  <si>
    <t>Rate Year</t>
  </si>
  <si>
    <t>RY 2019</t>
  </si>
  <si>
    <t>Projected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</si>
  <si>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G.3</t>
    </r>
  </si>
  <si>
    <t>Health Insurance &amp; Postretirement Expenses</t>
  </si>
  <si>
    <t>Health Insurance</t>
  </si>
  <si>
    <t>Monthly Rate</t>
  </si>
  <si>
    <t>No. of Months/Year</t>
  </si>
  <si>
    <t>Annual Rate</t>
  </si>
  <si>
    <t>No. of Enrollment</t>
  </si>
  <si>
    <t>Postretirement Medical</t>
  </si>
  <si>
    <t>RSP (See below)</t>
  </si>
  <si>
    <t>Health Insurance &amp; Postretirement</t>
  </si>
  <si>
    <t>Local 350 Union Retirement Security Plan (RSP)</t>
  </si>
  <si>
    <t>Increase %</t>
  </si>
  <si>
    <t>Total Monthly Rate</t>
  </si>
  <si>
    <t>Actual Union Headcount</t>
  </si>
  <si>
    <t>Postretirement</t>
  </si>
  <si>
    <t>Phase in adjustment</t>
  </si>
  <si>
    <t>Total RSP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</si>
  <si>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G.4</t>
    </r>
  </si>
  <si>
    <t>Payroll</t>
  </si>
  <si>
    <t>% of Payroll</t>
  </si>
  <si>
    <t xml:space="preserve">Workers Compensation 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</si>
  <si>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H.1</t>
    </r>
  </si>
  <si>
    <t>Lease Expenses</t>
  </si>
  <si>
    <t>Existing Leases in 2013 Rate</t>
  </si>
  <si>
    <t>New Leases after 2013 Rate</t>
  </si>
  <si>
    <t>Leases started in RY 2017</t>
  </si>
  <si>
    <t>Salvage Value</t>
  </si>
  <si>
    <t>Total Existing Leases</t>
  </si>
  <si>
    <t>Total Lease Expenses</t>
  </si>
  <si>
    <t>Depreciation</t>
  </si>
  <si>
    <t>Existing Depreciation in 2013 Rate</t>
  </si>
  <si>
    <t>New Depreciation after 2013 Rate</t>
  </si>
  <si>
    <t>New Depreciation for RY 2018</t>
  </si>
  <si>
    <t>New Depreciation for RY2018</t>
  </si>
  <si>
    <t>Total Existing Depreciation</t>
  </si>
  <si>
    <t>Total Depreciation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</si>
  <si>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H.2</t>
    </r>
  </si>
  <si>
    <t>(in thousands)</t>
  </si>
  <si>
    <t>L7</t>
  </si>
  <si>
    <t>Lease Schedule</t>
  </si>
  <si>
    <t>7 Yr.</t>
  </si>
  <si>
    <t>Monthly</t>
  </si>
  <si>
    <t>Annual</t>
  </si>
  <si>
    <t>Mid-Year Convention</t>
  </si>
  <si>
    <t>Projected Lease Expense</t>
  </si>
  <si>
    <t>Quantity</t>
  </si>
  <si>
    <t>Price</t>
  </si>
  <si>
    <t>Costs</t>
  </si>
  <si>
    <t>Term</t>
  </si>
  <si>
    <t>Operating Equipment</t>
  </si>
  <si>
    <t>Baler</t>
  </si>
  <si>
    <t xml:space="preserve">Air Compressor Plant </t>
  </si>
  <si>
    <t>Boom Lift</t>
  </si>
  <si>
    <t>Boom lift</t>
  </si>
  <si>
    <t>HHW Box Truck</t>
  </si>
  <si>
    <t>Car Charging Stations</t>
  </si>
  <si>
    <t>Car charging stations</t>
  </si>
  <si>
    <t>CAT Loader - 938K</t>
  </si>
  <si>
    <t xml:space="preserve">CAT Loader - 950 </t>
  </si>
  <si>
    <t>CAT Loader - 950K</t>
  </si>
  <si>
    <t>Compactor Receiver</t>
  </si>
  <si>
    <t>Debris Box - 40 yard</t>
  </si>
  <si>
    <t>Debris box - 40 yard</t>
  </si>
  <si>
    <t>Flat Bed Truck</t>
  </si>
  <si>
    <t>Forklift</t>
  </si>
  <si>
    <t>Hammer for Excavator</t>
  </si>
  <si>
    <t>PDRA</t>
  </si>
  <si>
    <t>Hammer for excavator</t>
  </si>
  <si>
    <t xml:space="preserve">Pick up </t>
  </si>
  <si>
    <t>Pressure Washer</t>
  </si>
  <si>
    <t>Programmable Logic Controller Computer System</t>
  </si>
  <si>
    <t>Pier 96</t>
  </si>
  <si>
    <t>Ptarrmigan Hopper &amp; Coney Belt</t>
  </si>
  <si>
    <t xml:space="preserve">Roll-off truck </t>
  </si>
  <si>
    <t xml:space="preserve">Roll off truck </t>
  </si>
  <si>
    <t>Scissor Lift</t>
  </si>
  <si>
    <t>Stationary Generator</t>
  </si>
  <si>
    <t>Street Sweeper</t>
  </si>
  <si>
    <t>Transfer Station load-out cranes</t>
  </si>
  <si>
    <t>Transfer station load-out cranes</t>
  </si>
  <si>
    <t>Transfer Trailer 38' Sludge</t>
  </si>
  <si>
    <t>Transfer Trailer 45' Flat</t>
  </si>
  <si>
    <t>Transfer Trailer 45' Possum</t>
  </si>
  <si>
    <t>Transfer Trailer 50'</t>
  </si>
  <si>
    <t>Transfer Truck</t>
  </si>
  <si>
    <t>Utility Vehicle</t>
  </si>
  <si>
    <t>Welder</t>
  </si>
  <si>
    <t xml:space="preserve">  Total Operating Equipment</t>
  </si>
  <si>
    <t>Existing Leases</t>
  </si>
  <si>
    <t>Buildings &amp; Improvements</t>
  </si>
  <si>
    <t>Computer Equipment</t>
  </si>
  <si>
    <t>Bins</t>
  </si>
  <si>
    <t>Containers</t>
  </si>
  <si>
    <t>Leasehold Improvements</t>
  </si>
  <si>
    <t>Machinery &amp; Equipment</t>
  </si>
  <si>
    <t>Trucks &amp; Auto</t>
  </si>
  <si>
    <t>Salvage Value for Replacement Vehicles</t>
  </si>
  <si>
    <t>Total Company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</si>
  <si>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H.3</t>
    </r>
  </si>
  <si>
    <t>Life</t>
  </si>
  <si>
    <t>(Years)</t>
  </si>
  <si>
    <t>West Wing Building Construction Cost</t>
  </si>
  <si>
    <t>West Wing building construction cost</t>
  </si>
  <si>
    <t>Trash Processing System</t>
  </si>
  <si>
    <t>Zero Waste processing system</t>
  </si>
  <si>
    <t>Stormwater Improvements</t>
  </si>
  <si>
    <t>Stormwater improvements</t>
  </si>
  <si>
    <t xml:space="preserve">Water Reclamation </t>
  </si>
  <si>
    <t xml:space="preserve">Water reclamation </t>
  </si>
  <si>
    <t>Pier 96 Drainage</t>
  </si>
  <si>
    <t>Pier 96 drainage</t>
  </si>
  <si>
    <t>Replace Pier 96 Tip Floor</t>
  </si>
  <si>
    <t>Replace Pier 96 tip floor</t>
  </si>
  <si>
    <t xml:space="preserve">Scale System Replacement and Resurface </t>
  </si>
  <si>
    <t xml:space="preserve">Scale system replacement and resurface </t>
  </si>
  <si>
    <t>Security System</t>
  </si>
  <si>
    <t>Security system</t>
  </si>
  <si>
    <t xml:space="preserve">Fuel System Replacement </t>
  </si>
  <si>
    <t xml:space="preserve">Fuel system replacement </t>
  </si>
  <si>
    <t>Parking Lot Resurface &amp; Road Repair</t>
  </si>
  <si>
    <t>Parking lot resurface &amp; road repair</t>
  </si>
  <si>
    <r>
      <rPr>
        <i/>
        <sz val="10"/>
        <rFont val="Arial"/>
        <family val="2"/>
      </rPr>
      <t>I</t>
    </r>
    <r>
      <rPr>
        <sz val="10"/>
        <rFont val="Arial"/>
        <family val="2"/>
      </rPr>
      <t>MRF Roof, Gutter, and Skylight Replacement</t>
    </r>
  </si>
  <si>
    <t>IMRF roof, gutter, and skylight replacement</t>
  </si>
  <si>
    <t>Total Additions</t>
  </si>
  <si>
    <t>Existing Depreciation</t>
  </si>
  <si>
    <t>Furniture &amp; Fixtures</t>
  </si>
  <si>
    <t>Land Improvements</t>
  </si>
  <si>
    <r>
      <t xml:space="preserve">Rate Application, Schedule </t>
    </r>
    <r>
      <rPr>
        <b/>
        <u/>
        <sz val="10"/>
        <rFont val="Arial"/>
        <family val="2"/>
      </rPr>
      <t>I</t>
    </r>
  </si>
  <si>
    <t>Liability Insurance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</si>
  <si>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J.1</t>
    </r>
  </si>
  <si>
    <t>Transfer Station Compostables</t>
  </si>
  <si>
    <t>Transfer Station Brush</t>
  </si>
  <si>
    <r>
      <rPr>
        <i/>
        <sz val="10"/>
        <rFont val="Arial"/>
        <family val="2"/>
      </rPr>
      <t>i</t>
    </r>
    <r>
      <rPr>
        <sz val="10"/>
        <rFont val="Arial"/>
        <family val="2"/>
      </rPr>
      <t>MRF/PRRA Sort lines (Processed fines)</t>
    </r>
  </si>
  <si>
    <t>iMRF/PDRA Sort lines (Processed fines)</t>
  </si>
  <si>
    <r>
      <rPr>
        <i/>
        <sz val="10"/>
        <rFont val="Arial"/>
        <family val="2"/>
      </rPr>
      <t>i</t>
    </r>
    <r>
      <rPr>
        <sz val="10"/>
        <rFont val="Arial"/>
        <family val="2"/>
      </rPr>
      <t>MRF/PRRA Sort lines (Treated wood)</t>
    </r>
  </si>
  <si>
    <t>iMRF/PDRA Sort lines (Treated wood)</t>
  </si>
  <si>
    <r>
      <rPr>
        <i/>
        <sz val="10"/>
        <rFont val="Arial"/>
        <family val="2"/>
      </rPr>
      <t>i</t>
    </r>
    <r>
      <rPr>
        <sz val="10"/>
        <rFont val="Arial"/>
        <family val="2"/>
      </rPr>
      <t>MRF/PRRA Sort lines (Sheetrock)</t>
    </r>
  </si>
  <si>
    <t>iMRF/PDRA Sort lines (Sheetrock)</t>
  </si>
  <si>
    <t>San Bruno Fire Debris</t>
  </si>
  <si>
    <t>Recycle Central &amp; Other Wood</t>
  </si>
  <si>
    <t>Concrete to Hay Road</t>
  </si>
  <si>
    <t>Out of County</t>
  </si>
  <si>
    <t>Disposal to Hay Road</t>
  </si>
  <si>
    <t xml:space="preserve">   Total I/C Tons</t>
  </si>
  <si>
    <t xml:space="preserve">    Total I/C Tons</t>
  </si>
  <si>
    <t>I/C Processing Costs</t>
  </si>
  <si>
    <t>Recycle Central Wood</t>
  </si>
  <si>
    <t>Total I/C Processing Costs</t>
  </si>
  <si>
    <t>Other I/C Processing and Disposal Costs</t>
  </si>
  <si>
    <t>Compostables Contamination</t>
  </si>
  <si>
    <t>Compostables contamination</t>
  </si>
  <si>
    <t>Intercompany Disposal Expenses</t>
  </si>
  <si>
    <t xml:space="preserve">   Total Intercompany Processing &amp; Disposal</t>
  </si>
  <si>
    <t xml:space="preserve"> Total Intercompany Processing &amp; Disposal</t>
  </si>
  <si>
    <r>
      <t xml:space="preserve">Rate Application, Schedule </t>
    </r>
    <r>
      <rPr>
        <b/>
        <u/>
        <sz val="10"/>
        <rFont val="Arial"/>
        <family val="2"/>
      </rPr>
      <t>J.2</t>
    </r>
  </si>
  <si>
    <t>Altamont / Hay Road</t>
  </si>
  <si>
    <t>Base Rate (Altamont)</t>
  </si>
  <si>
    <t>Cost Recovery</t>
  </si>
  <si>
    <t>State AB939 Fee</t>
  </si>
  <si>
    <t>Emergency Storage Tank Fee</t>
  </si>
  <si>
    <t>Altamont Regulatory Fund</t>
  </si>
  <si>
    <t>Altamont Disposal Fee Per Ton</t>
  </si>
  <si>
    <t>Base Rate (Hay Road)</t>
  </si>
  <si>
    <t>County Solid Waste Business License Fee</t>
  </si>
  <si>
    <t>County Solid Waste Disposal Facility Fee</t>
  </si>
  <si>
    <t>Solano County Waste Mitigation Fee</t>
  </si>
  <si>
    <t>AB939 Fee</t>
  </si>
  <si>
    <t>SCS Solid Waste Mitigation Fee</t>
  </si>
  <si>
    <t>Hay Road Landfill Disposal Fee Per Ton</t>
  </si>
  <si>
    <t>Tons to Altamont</t>
  </si>
  <si>
    <t>Tons to Hay Road</t>
  </si>
  <si>
    <t>Altamont Surcharge</t>
  </si>
  <si>
    <t>Outside Disposal Expenses</t>
  </si>
  <si>
    <t xml:space="preserve">Total Disposal Expenses </t>
  </si>
  <si>
    <t xml:space="preserve">J.2 + J.3 - Outside Disposal Expenses </t>
  </si>
  <si>
    <t xml:space="preserve">Under the previous landfill agreement at Altamont Landfill, the Company paid the following fees out of the impound account: </t>
  </si>
  <si>
    <t>Waste Management Authority of Alameda County</t>
  </si>
  <si>
    <t>Altamont Landfill &amp; Resource Recovery Facility - Annual Business License tax</t>
  </si>
  <si>
    <t>Altamont Landfill &amp; Resource Recovery Facility - Open Space Fees</t>
  </si>
  <si>
    <t>Total Altamont fees per ton paid through Impound Account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</si>
  <si>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J.3</t>
    </r>
  </si>
  <si>
    <r>
      <t>Item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Description</t>
    </r>
  </si>
  <si>
    <t>Outside Disposal</t>
  </si>
  <si>
    <t>Household Hazardous Waste</t>
  </si>
  <si>
    <t>Waste Acceptance Control Program</t>
  </si>
  <si>
    <t>Universal Waste</t>
  </si>
  <si>
    <t>Facilities &amp; Grounds</t>
  </si>
  <si>
    <t>PRRA</t>
  </si>
  <si>
    <t>Safe Needle Program</t>
  </si>
  <si>
    <t xml:space="preserve">East Bay MUD Anaerobic Digestion </t>
  </si>
  <si>
    <t>Others</t>
  </si>
  <si>
    <t xml:space="preserve">   Total Outside Disposal Costs</t>
  </si>
  <si>
    <t xml:space="preserve">    Total Outside Disposal Costs</t>
  </si>
  <si>
    <t>General &amp; Administration</t>
  </si>
  <si>
    <r>
      <t xml:space="preserve">Rate Application, </t>
    </r>
    <r>
      <rPr>
        <u/>
        <sz val="10"/>
        <color theme="1"/>
        <rFont val="Arial"/>
        <family val="2"/>
      </rPr>
      <t xml:space="preserve">Schedule </t>
    </r>
    <r>
      <rPr>
        <b/>
        <u/>
        <sz val="10"/>
        <color theme="1"/>
        <rFont val="Arial"/>
        <family val="2"/>
      </rPr>
      <t>K.1</t>
    </r>
  </si>
  <si>
    <t>Processing</t>
  </si>
  <si>
    <t>Mixed Glass Fines</t>
  </si>
  <si>
    <t xml:space="preserve">Fines MX </t>
  </si>
  <si>
    <t>Recycle Central Residue Processing</t>
  </si>
  <si>
    <t xml:space="preserve">   Total Processing Tons</t>
  </si>
  <si>
    <t>Processing Fee per Ton</t>
  </si>
  <si>
    <t xml:space="preserve">Other </t>
  </si>
  <si>
    <t xml:space="preserve">   Total Processing Expenses</t>
  </si>
  <si>
    <r>
      <t xml:space="preserve">Rate Application, </t>
    </r>
    <r>
      <rPr>
        <u/>
        <sz val="10"/>
        <color theme="1"/>
        <rFont val="Arial"/>
        <family val="2"/>
      </rPr>
      <t xml:space="preserve">Schedule </t>
    </r>
    <r>
      <rPr>
        <b/>
        <u/>
        <sz val="10"/>
        <color theme="1"/>
        <rFont val="Arial"/>
        <family val="2"/>
      </rPr>
      <t>K.2</t>
    </r>
  </si>
  <si>
    <t>Source-Separated Line Purchases</t>
  </si>
  <si>
    <t>Bi-metal/Metal</t>
  </si>
  <si>
    <t>HDPE (CRV containers only)</t>
  </si>
  <si>
    <t>Plastic</t>
  </si>
  <si>
    <t>Whole Bottle Glass (CRV containers only)</t>
  </si>
  <si>
    <t xml:space="preserve">   Total Tons</t>
  </si>
  <si>
    <t>Inventory Adjustment</t>
  </si>
  <si>
    <t>Inventory adjustment</t>
  </si>
  <si>
    <t xml:space="preserve">   Total Recycling Purchases</t>
  </si>
  <si>
    <t>Total Recycling Purchases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</si>
  <si>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L.1</t>
    </r>
  </si>
  <si>
    <t>Freight</t>
  </si>
  <si>
    <t>Recycle Central - Cost per load</t>
  </si>
  <si>
    <t>Pier 96 - Cost per load</t>
  </si>
  <si>
    <t>Loads Shipped</t>
  </si>
  <si>
    <t>Total Recycle Central</t>
  </si>
  <si>
    <t>Total Pier 96</t>
  </si>
  <si>
    <t>Tunnel Avenue - Metal Rail Car</t>
  </si>
  <si>
    <t>Transfer Station - Metal Rail Car</t>
  </si>
  <si>
    <t>Other Freight</t>
  </si>
  <si>
    <t>Total Freight Expense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</si>
  <si>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L.2</t>
    </r>
  </si>
  <si>
    <t>Item</t>
  </si>
  <si>
    <t>2017  vs 2016</t>
  </si>
  <si>
    <t>2018 vs 2017</t>
  </si>
  <si>
    <r>
      <rPr>
        <i/>
        <sz val="10"/>
        <rFont val="Arial"/>
        <family val="2"/>
      </rPr>
      <t>I</t>
    </r>
    <r>
      <rPr>
        <sz val="10"/>
        <rFont val="Arial"/>
        <family val="2"/>
      </rPr>
      <t>MRF</t>
    </r>
  </si>
  <si>
    <t>IMRF</t>
  </si>
  <si>
    <t>Brisbane License</t>
  </si>
  <si>
    <t>Total Licenses &amp; Permits</t>
  </si>
  <si>
    <t>Parts</t>
  </si>
  <si>
    <t>Total Parts</t>
  </si>
  <si>
    <t xml:space="preserve">Tires &amp; Tubes               </t>
  </si>
  <si>
    <t>Total Tires &amp; Tubes</t>
  </si>
  <si>
    <t>Repairs</t>
  </si>
  <si>
    <t>Total Repairs</t>
  </si>
  <si>
    <t>Dieel MPG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</si>
  <si>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L.3</t>
    </r>
  </si>
  <si>
    <t>LNG MPG</t>
  </si>
  <si>
    <t>Total Tons to Altamont</t>
  </si>
  <si>
    <t>Total Tons to Hay Road</t>
  </si>
  <si>
    <t>Renewable Diesel Fuel Calculation:</t>
  </si>
  <si>
    <t>Total Number of Long Haul Bio-Diesel Trucks</t>
  </si>
  <si>
    <t>Tons Hauled by Renewable Diesel Trucks</t>
  </si>
  <si>
    <t>Tons hauled by Renewable Diesel Trucks</t>
  </si>
  <si>
    <t>Tons per Load</t>
  </si>
  <si>
    <t>Loads</t>
  </si>
  <si>
    <t>Roundtrip Miles per Load</t>
  </si>
  <si>
    <t>Total Miles</t>
  </si>
  <si>
    <t>Average MPG</t>
  </si>
  <si>
    <t>Total Gallons</t>
  </si>
  <si>
    <t>Total Number of Long Haul Renewable Diesel Trucks</t>
  </si>
  <si>
    <t xml:space="preserve">Fully Taxed Price/Gallon </t>
  </si>
  <si>
    <t xml:space="preserve">Fully Taxed price\gallon </t>
  </si>
  <si>
    <t>Renewable Diesel Fuel Cost</t>
  </si>
  <si>
    <t>Diesel Fuel Cost</t>
  </si>
  <si>
    <t>LNG Fuel Calculation:</t>
  </si>
  <si>
    <t>Total Number of Long Haul LNG Trucks</t>
  </si>
  <si>
    <t>Tons Hauled by LNG Trucks</t>
  </si>
  <si>
    <t>Tons hauled by LNG Trucks</t>
  </si>
  <si>
    <t>LNG Tons Per Load</t>
  </si>
  <si>
    <t>Fully Taxed Price/Gallon</t>
  </si>
  <si>
    <t>Fully Taxed price\gallon</t>
  </si>
  <si>
    <t>LNG Fuel Cost</t>
  </si>
  <si>
    <t>Commodity Tons Hauled</t>
  </si>
  <si>
    <t>Renewable Diesel Fuel Cost for Commodity Tons</t>
  </si>
  <si>
    <t>Diesel Fuel Gallons - Dozers &amp; Loaders</t>
  </si>
  <si>
    <t>Diesel fuel gallons - Dozers &amp; Loaders</t>
  </si>
  <si>
    <t>Cost per Gallon</t>
  </si>
  <si>
    <t>Cost per gallon</t>
  </si>
  <si>
    <t>Diesel fuel cost</t>
  </si>
  <si>
    <t>Dyed Diesel Fuel Gallons - Recycle Central</t>
  </si>
  <si>
    <t>Dyed diesel fuel gallons - Pier 96</t>
  </si>
  <si>
    <t>Dyed Diesel Fuel Cost - Recycle Central</t>
  </si>
  <si>
    <t>Renewable Diesel Fuel Gallons - Other Trucks</t>
  </si>
  <si>
    <t>Renewable Diesel fuel gallons - Other Trucks</t>
  </si>
  <si>
    <t>Renewable Diesel fuel cost</t>
  </si>
  <si>
    <t>Propane Fuel Gallons - Forklifts</t>
  </si>
  <si>
    <t>Propane fuel gallons - Forklifts</t>
  </si>
  <si>
    <t>Propane fuel cost</t>
  </si>
  <si>
    <t>Unleaded fuel cost</t>
  </si>
  <si>
    <t>Unleaded Fuel Gallons</t>
  </si>
  <si>
    <t>Unleaded fuel gallons</t>
  </si>
  <si>
    <t>Unleaded Fuel Cost</t>
  </si>
  <si>
    <t>Recology San Francisco Oil Gallons</t>
  </si>
  <si>
    <t>Recology San Francisco oil gallons</t>
  </si>
  <si>
    <t>Recology San Francisco Oil Cost</t>
  </si>
  <si>
    <t>Recology San Francisco oil cost</t>
  </si>
  <si>
    <t>Sustainable Crushing  Fuel Gallons</t>
  </si>
  <si>
    <t>Sustainable Crushing  fuel gallons</t>
  </si>
  <si>
    <t>Sustainable Crushing Fuel Cost</t>
  </si>
  <si>
    <t>Sustainable Crushing  fuel cost</t>
  </si>
  <si>
    <t>LNG Surcharge Accrual\(Reversal)</t>
  </si>
  <si>
    <t>Federal &amp; State Tax Credits</t>
  </si>
  <si>
    <t xml:space="preserve">Total Fuel and Oil Cost </t>
  </si>
  <si>
    <t xml:space="preserve">Total Fuel cost 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</si>
  <si>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L.4</t>
    </r>
  </si>
  <si>
    <t xml:space="preserve">Trash Hauling Bridge Tolls </t>
  </si>
  <si>
    <t xml:space="preserve">Refuse Hauling Bridge Tolls </t>
  </si>
  <si>
    <t>Loads Using Diesel</t>
  </si>
  <si>
    <t>Loads Using LNG</t>
  </si>
  <si>
    <t>Total Loads</t>
  </si>
  <si>
    <t>Number of Toll Crossings per Load</t>
  </si>
  <si>
    <t>Total Toll Crossings</t>
  </si>
  <si>
    <t>Bridge Toll per Crossing</t>
  </si>
  <si>
    <t>Total Trash Hauling Bridge Tolls</t>
  </si>
  <si>
    <t>Total Bridge Tolls Refuse</t>
  </si>
  <si>
    <t xml:space="preserve">Commodity Hauling Bridge Tolls </t>
  </si>
  <si>
    <t>Total Commodity Hauling Bridge Tolls</t>
  </si>
  <si>
    <t>Total Bridge Tolls Commodity Hauling</t>
  </si>
  <si>
    <t>Other Operating Bridge Tolls</t>
  </si>
  <si>
    <t>Total Bridge Tolls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</si>
  <si>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L.5</t>
    </r>
  </si>
  <si>
    <t>Artist in Residence</t>
  </si>
  <si>
    <t xml:space="preserve">ELC </t>
  </si>
  <si>
    <t xml:space="preserve">Hazardous Waste </t>
  </si>
  <si>
    <t xml:space="preserve">Human Resources </t>
  </si>
  <si>
    <t xml:space="preserve">Pier 96 </t>
  </si>
  <si>
    <t xml:space="preserve">Sustainable Crushing  </t>
  </si>
  <si>
    <t>Other Tunnel Avenue</t>
  </si>
  <si>
    <t xml:space="preserve">Truck &amp; Garage </t>
  </si>
  <si>
    <t>Total Contract Services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</si>
  <si>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L.6</t>
    </r>
  </si>
  <si>
    <t>Electricity Usage / kW h</t>
  </si>
  <si>
    <t>Recycle Cenntral</t>
  </si>
  <si>
    <r>
      <rPr>
        <i/>
        <sz val="10"/>
        <rFont val="Arial"/>
        <family val="2"/>
      </rPr>
      <t>i</t>
    </r>
    <r>
      <rPr>
        <sz val="10"/>
        <rFont val="Arial"/>
        <family val="2"/>
      </rPr>
      <t>MRF</t>
    </r>
  </si>
  <si>
    <t>Alana Shop</t>
  </si>
  <si>
    <t>West Wing</t>
  </si>
  <si>
    <t>Artist in Residence Program</t>
  </si>
  <si>
    <t>Total kW h</t>
  </si>
  <si>
    <t>Electricity Cost per kW h</t>
  </si>
  <si>
    <t>Electricity Costs</t>
  </si>
  <si>
    <t>Total Electricity</t>
  </si>
  <si>
    <t>Water Usage / Gallons</t>
  </si>
  <si>
    <t>Organics Annex</t>
  </si>
  <si>
    <t>Water Cost per Gallon</t>
  </si>
  <si>
    <t>Water Costs</t>
  </si>
  <si>
    <t>Total Water</t>
  </si>
  <si>
    <t>Natural Gas Costs</t>
  </si>
  <si>
    <t>Total Natural Gas</t>
  </si>
  <si>
    <t>Total Recology San Francisco Utilities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</si>
  <si>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M.1</t>
    </r>
  </si>
  <si>
    <t>Accounting Fees</t>
  </si>
  <si>
    <t>Engineering Fees</t>
  </si>
  <si>
    <t>Legal Fees</t>
  </si>
  <si>
    <t>Other Professional Fees</t>
  </si>
  <si>
    <t>Total Professional Services</t>
  </si>
  <si>
    <r>
      <t xml:space="preserve">Rate Application, </t>
    </r>
    <r>
      <rPr>
        <u/>
        <sz val="10"/>
        <rFont val="Arial"/>
        <family val="2"/>
      </rPr>
      <t xml:space="preserve">Schedule </t>
    </r>
    <r>
      <rPr>
        <b/>
        <u/>
        <sz val="10"/>
        <rFont val="Arial"/>
        <family val="2"/>
      </rPr>
      <t>M.2</t>
    </r>
  </si>
  <si>
    <t xml:space="preserve">Item Description       </t>
  </si>
  <si>
    <t>Corporate Services</t>
  </si>
  <si>
    <t>Corporate Management</t>
  </si>
  <si>
    <t>Technology</t>
  </si>
  <si>
    <t>Sustainability</t>
  </si>
  <si>
    <t>Human Resources</t>
  </si>
  <si>
    <t>Corporate Accounting Services</t>
  </si>
  <si>
    <t>Environmental Compliance</t>
  </si>
  <si>
    <t>IT Services</t>
  </si>
  <si>
    <t>Total Corporate Services</t>
  </si>
  <si>
    <t>CONTINGENT SCHEDULE 1</t>
  </si>
  <si>
    <t>Integrated Material Recovery Facility</t>
  </si>
  <si>
    <r>
      <t xml:space="preserve">Contingent Schedule 1 - </t>
    </r>
    <r>
      <rPr>
        <b/>
        <i/>
        <sz val="11"/>
        <color rgb="FFFF0000"/>
        <rFont val="Arial"/>
        <family val="2"/>
      </rPr>
      <t>i</t>
    </r>
    <r>
      <rPr>
        <b/>
        <sz val="11"/>
        <color rgb="FFFF0000"/>
        <rFont val="Arial"/>
        <family val="2"/>
      </rPr>
      <t>MRF</t>
    </r>
  </si>
  <si>
    <t>Commodity Revenue</t>
  </si>
  <si>
    <t>Increase in Tipping Charge per Ton</t>
  </si>
  <si>
    <r>
      <t xml:space="preserve">Contingent Schedule 1 - </t>
    </r>
    <r>
      <rPr>
        <b/>
        <i/>
        <sz val="10"/>
        <color rgb="FFFF0000"/>
        <rFont val="Arial"/>
        <family val="2"/>
      </rPr>
      <t>i</t>
    </r>
    <r>
      <rPr>
        <b/>
        <sz val="10"/>
        <color rgb="FFFF0000"/>
        <rFont val="Arial"/>
        <family val="2"/>
      </rPr>
      <t>MRF</t>
    </r>
  </si>
  <si>
    <t>Rate Application, Schedule F.1</t>
  </si>
  <si>
    <r>
      <t xml:space="preserve">Rate Application, </t>
    </r>
    <r>
      <rPr>
        <b/>
        <u/>
        <sz val="10"/>
        <rFont val="Arial"/>
        <family val="2"/>
      </rPr>
      <t>Schedule G.1</t>
    </r>
  </si>
  <si>
    <t>Lease</t>
  </si>
  <si>
    <t>Flat Bed Truck 1 Ton</t>
  </si>
  <si>
    <t>Transfer Truck, 3 Axle</t>
  </si>
  <si>
    <t>Transfer Trailer 50' Live</t>
  </si>
  <si>
    <t xml:space="preserve">Excavator </t>
  </si>
  <si>
    <t>Total Lease</t>
  </si>
  <si>
    <t>Building Construction Cost</t>
  </si>
  <si>
    <t>CONTINGENT SCHEDULE 2</t>
  </si>
  <si>
    <t xml:space="preserve">Trash Processing </t>
  </si>
  <si>
    <t>Loader</t>
  </si>
  <si>
    <r>
      <rPr>
        <i/>
        <sz val="10"/>
        <rFont val="Arial"/>
        <family val="2"/>
      </rPr>
      <t>i</t>
    </r>
    <r>
      <rPr>
        <sz val="10"/>
        <rFont val="Arial"/>
        <family val="2"/>
      </rPr>
      <t>MRF Building Retrofits &amp; Cover for Outdoor Conveyors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</si>
</sst>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0_);\(0\)"/>
    <numFmt numFmtId="168" formatCode="0.0%"/>
    <numFmt numFmtId="169" formatCode="_(* #,##0.0000_);_(* \(#,##0.0000\);_(* &quot;-&quot;??_);_(@_)"/>
    <numFmt numFmtId="170" formatCode="#,##0.0"/>
    <numFmt numFmtId="171" formatCode="_(* #,##0.0_);_(* \(#,##0.0\);_(* &quot;-&quot;??_);_(@_)"/>
    <numFmt numFmtId="172" formatCode="#,##0.0_);[Red]\(#,##0.0\);_(* &quot;-&quot;?_)"/>
    <numFmt numFmtId="173" formatCode="[$-409]mmm\-yy;@"/>
    <numFmt numFmtId="174" formatCode="#,##0_);\(#,##0\);"/>
    <numFmt numFmtId="175" formatCode="&quot;$&quot;#,##0"/>
    <numFmt numFmtId="176" formatCode="_(&quot;$&quot;* #,##0.00_);_(&quot;$&quot;* \(#,##0.00\);_(&quot;$&quot;* &quot;-&quot;???_);_(@_)"/>
    <numFmt numFmtId="177" formatCode="_(&quot;$&quot;* #,##0.00_);_(&quot;$&quot;* \(#,##0.00\);_(&quot;$&quot;* &quot;-&quot;_);_(@_)"/>
    <numFmt numFmtId="178" formatCode="#,##0.0_);[Red]\(#,##0.0\)"/>
    <numFmt numFmtId="179" formatCode="0.0"/>
    <numFmt numFmtId="180" formatCode="_(&quot;$&quot;* #,##0.0000_);_(&quot;$&quot;* \(#,##0.0000\);_(&quot;$&quot;* &quot;-&quot;????_);_(@_)"/>
    <numFmt numFmtId="181" formatCode="#,##0.000_);[Red]\(#,##0.000\)"/>
    <numFmt numFmtId="182" formatCode="_(&quot;$&quot;* #,##0.0000_);_(&quot;$&quot;* \(#,##0.0000\);_(&quot;$&quot;* &quot;-&quot;??_);_(@_)"/>
    <numFmt numFmtId="183" formatCode="_(&quot;$&quot;* #,##0.000_);_(&quot;$&quot;* \(#,##0.000\);_(&quot;$&quot;* &quot;-&quot;??_);_(@_)"/>
    <numFmt numFmtId="184" formatCode="_(* #,##0.000_);_(* \(#,##0.000\);_(* &quot;-&quot;???_);_(@_)"/>
    <numFmt numFmtId="185" formatCode="_(&quot;$&quot;* #,##0.0_);_(&quot;$&quot;* \(#,##0.0\);_(&quot;$&quot;* &quot;-&quot;?_);_(@_)"/>
    <numFmt numFmtId="186" formatCode="#,##0.0_);\(#,##0.0\);_(* &quot;-&quot;?_)"/>
  </numFmts>
  <fonts count="53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1"/>
      <color indexed="17"/>
      <name val="Arial"/>
      <family val="2"/>
    </font>
    <font>
      <b/>
      <sz val="10"/>
      <color rgb="FFFF000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14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indexed="17"/>
      <name val="Arial"/>
      <family val="2"/>
    </font>
    <font>
      <b/>
      <i/>
      <u/>
      <sz val="10"/>
      <name val="Arial"/>
      <family val="2"/>
    </font>
    <font>
      <sz val="11"/>
      <color rgb="FF000000"/>
      <name val="Calibri"/>
      <family val="2"/>
    </font>
    <font>
      <sz val="10"/>
      <color rgb="FF0070C0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theme="5" tint="-0.499984740745262"/>
      <name val="Arial"/>
      <family val="2"/>
    </font>
    <font>
      <b/>
      <u val="singleAccounting"/>
      <sz val="10"/>
      <name val="Arial"/>
      <family val="2"/>
    </font>
    <font>
      <sz val="10"/>
      <name val="MS Sans Serif"/>
      <family val="2"/>
    </font>
    <font>
      <b/>
      <u/>
      <sz val="12"/>
      <color rgb="FFFF0000"/>
      <name val="Arial"/>
      <family val="2"/>
    </font>
    <font>
      <sz val="9"/>
      <color indexed="17"/>
      <name val="Arial"/>
      <family val="2"/>
    </font>
    <font>
      <sz val="10"/>
      <color indexed="12"/>
      <name val="Arial"/>
      <family val="2"/>
    </font>
    <font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DFF9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DFFD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12"/>
      </left>
      <right style="thin">
        <color indexed="64"/>
      </right>
      <top/>
      <bottom/>
      <diagonal/>
    </border>
    <border>
      <left/>
      <right style="thin">
        <color indexed="1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" fontId="39" fillId="0" borderId="0" applyFont="0" applyFill="0" applyBorder="0" applyAlignment="0" applyProtection="0">
      <alignment vertical="top"/>
    </xf>
    <xf numFmtId="42" fontId="1" fillId="0" borderId="0" applyFont="0" applyFill="0" applyBorder="0" applyAlignment="0" applyProtection="0"/>
    <xf numFmtId="0" fontId="39" fillId="0" borderId="0">
      <alignment vertical="top"/>
    </xf>
    <xf numFmtId="0" fontId="1" fillId="0" borderId="0"/>
    <xf numFmtId="41" fontId="1" fillId="0" borderId="0" applyFont="0" applyFill="0" applyBorder="0" applyAlignment="0" applyProtection="0"/>
  </cellStyleXfs>
  <cellXfs count="1606">
    <xf numFmtId="0" fontId="0" fillId="0" borderId="0" xfId="0"/>
    <xf numFmtId="3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quotePrefix="1" applyFont="1" applyAlignment="1">
      <alignment horizontal="center"/>
    </xf>
    <xf numFmtId="0" fontId="5" fillId="0" borderId="0" xfId="0" quotePrefix="1" applyFont="1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7" fillId="0" borderId="0" xfId="0" applyNumberFormat="1" applyFont="1" applyFill="1" applyBorder="1" applyAlignment="1">
      <alignment horizontal="left"/>
    </xf>
    <xf numFmtId="3" fontId="8" fillId="0" borderId="0" xfId="0" quotePrefix="1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1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4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9" xfId="0" applyNumberFormat="1" applyBorder="1"/>
    <xf numFmtId="0" fontId="1" fillId="0" borderId="0" xfId="0" applyFont="1" applyFill="1"/>
    <xf numFmtId="0" fontId="1" fillId="0" borderId="0" xfId="0" applyFont="1" applyFill="1" applyBorder="1"/>
    <xf numFmtId="10" fontId="11" fillId="0" borderId="0" xfId="0" applyNumberFormat="1" applyFont="1" applyFill="1" applyBorder="1" applyAlignment="1">
      <alignment horizontal="center"/>
    </xf>
    <xf numFmtId="43" fontId="1" fillId="0" borderId="0" xfId="0" applyNumberFormat="1" applyFont="1" applyFill="1"/>
    <xf numFmtId="43" fontId="1" fillId="0" borderId="0" xfId="0" applyNumberFormat="1" applyFont="1" applyFill="1" applyBorder="1"/>
    <xf numFmtId="3" fontId="12" fillId="0" borderId="0" xfId="0" applyNumberFormat="1" applyFont="1" applyBorder="1"/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/>
    <xf numFmtId="3" fontId="1" fillId="0" borderId="0" xfId="0" applyNumberFormat="1" applyFont="1" applyFill="1" applyBorder="1"/>
    <xf numFmtId="0" fontId="14" fillId="0" borderId="0" xfId="4" quotePrefix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wrapText="1" shrinkToFit="1"/>
    </xf>
    <xf numFmtId="41" fontId="11" fillId="2" borderId="1" xfId="0" applyNumberFormat="1" applyFont="1" applyFill="1" applyBorder="1" applyAlignment="1">
      <alignment horizontal="center" vertical="center"/>
    </xf>
    <xf numFmtId="41" fontId="11" fillId="0" borderId="5" xfId="0" applyNumberFormat="1" applyFont="1" applyFill="1" applyBorder="1" applyAlignment="1">
      <alignment horizontal="right"/>
    </xf>
    <xf numFmtId="41" fontId="13" fillId="3" borderId="1" xfId="0" applyNumberFormat="1" applyFont="1" applyFill="1" applyBorder="1" applyAlignment="1">
      <alignment horizontal="center" vertical="center" wrapText="1"/>
    </xf>
    <xf numFmtId="0" fontId="15" fillId="4" borderId="1" xfId="4" quotePrefix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/>
    </xf>
    <xf numFmtId="165" fontId="16" fillId="0" borderId="4" xfId="2" applyNumberFormat="1" applyFont="1" applyFill="1" applyBorder="1"/>
    <xf numFmtId="165" fontId="16" fillId="0" borderId="5" xfId="2" applyNumberFormat="1" applyFont="1" applyFill="1" applyBorder="1"/>
    <xf numFmtId="3" fontId="1" fillId="0" borderId="5" xfId="0" applyNumberFormat="1" applyFont="1" applyFill="1" applyBorder="1" applyAlignment="1">
      <alignment horizontal="left"/>
    </xf>
    <xf numFmtId="3" fontId="1" fillId="0" borderId="6" xfId="1" applyNumberFormat="1" applyFont="1" applyFill="1" applyBorder="1"/>
    <xf numFmtId="3" fontId="1" fillId="0" borderId="5" xfId="1" applyNumberFormat="1" applyFont="1" applyFill="1" applyBorder="1"/>
    <xf numFmtId="3" fontId="11" fillId="0" borderId="5" xfId="0" quotePrefix="1" applyNumberFormat="1" applyFont="1" applyFill="1" applyBorder="1" applyAlignment="1">
      <alignment horizontal="left"/>
    </xf>
    <xf numFmtId="41" fontId="11" fillId="0" borderId="6" xfId="1" applyNumberFormat="1" applyFont="1" applyFill="1" applyBorder="1"/>
    <xf numFmtId="41" fontId="11" fillId="0" borderId="5" xfId="1" applyNumberFormat="1" applyFont="1" applyFill="1" applyBorder="1"/>
    <xf numFmtId="3" fontId="1" fillId="0" borderId="5" xfId="0" applyNumberFormat="1" applyFont="1" applyFill="1" applyBorder="1"/>
    <xf numFmtId="3" fontId="1" fillId="0" borderId="6" xfId="0" applyNumberFormat="1" applyFont="1" applyFill="1" applyBorder="1"/>
    <xf numFmtId="3" fontId="17" fillId="5" borderId="11" xfId="0" quotePrefix="1" applyNumberFormat="1" applyFont="1" applyFill="1" applyBorder="1" applyAlignment="1">
      <alignment horizontal="left"/>
    </xf>
    <xf numFmtId="10" fontId="18" fillId="5" borderId="1" xfId="3" applyNumberFormat="1" applyFont="1" applyFill="1" applyBorder="1"/>
    <xf numFmtId="10" fontId="18" fillId="0" borderId="5" xfId="3" applyNumberFormat="1" applyFont="1" applyFill="1" applyBorder="1"/>
    <xf numFmtId="3" fontId="1" fillId="0" borderId="5" xfId="0" quotePrefix="1" applyNumberFormat="1" applyFont="1" applyFill="1" applyBorder="1"/>
    <xf numFmtId="3" fontId="11" fillId="0" borderId="5" xfId="2" quotePrefix="1" applyNumberFormat="1" applyFont="1" applyFill="1" applyBorder="1" applyAlignment="1">
      <alignment horizontal="left"/>
    </xf>
    <xf numFmtId="165" fontId="11" fillId="0" borderId="6" xfId="2" applyNumberFormat="1" applyFont="1" applyFill="1" applyBorder="1"/>
    <xf numFmtId="165" fontId="11" fillId="0" borderId="5" xfId="2" applyNumberFormat="1" applyFont="1" applyFill="1" applyBorder="1"/>
    <xf numFmtId="3" fontId="11" fillId="0" borderId="6" xfId="1" applyNumberFormat="1" applyFont="1" applyFill="1" applyBorder="1"/>
    <xf numFmtId="3" fontId="11" fillId="0" borderId="5" xfId="1" applyNumberFormat="1" applyFont="1" applyFill="1" applyBorder="1"/>
    <xf numFmtId="3" fontId="11" fillId="0" borderId="5" xfId="2" applyNumberFormat="1" applyFont="1" applyFill="1" applyBorder="1" applyAlignment="1">
      <alignment horizontal="left"/>
    </xf>
    <xf numFmtId="41" fontId="1" fillId="0" borderId="6" xfId="0" applyNumberFormat="1" applyFont="1" applyFill="1" applyBorder="1"/>
    <xf numFmtId="41" fontId="1" fillId="0" borderId="5" xfId="0" applyNumberFormat="1" applyFont="1" applyFill="1" applyBorder="1"/>
    <xf numFmtId="3" fontId="19" fillId="0" borderId="2" xfId="0" quotePrefix="1" applyNumberFormat="1" applyFont="1" applyFill="1" applyBorder="1" applyAlignment="1">
      <alignment horizontal="left"/>
    </xf>
    <xf numFmtId="41" fontId="1" fillId="0" borderId="4" xfId="0" applyNumberFormat="1" applyFont="1" applyFill="1" applyBorder="1"/>
    <xf numFmtId="3" fontId="0" fillId="0" borderId="5" xfId="0" applyNumberFormat="1" applyBorder="1"/>
    <xf numFmtId="41" fontId="1" fillId="0" borderId="6" xfId="1" applyNumberFormat="1" applyFont="1" applyFill="1" applyBorder="1"/>
    <xf numFmtId="41" fontId="1" fillId="0" borderId="5" xfId="1" applyNumberFormat="1" applyFont="1" applyFill="1" applyBorder="1"/>
    <xf numFmtId="3" fontId="19" fillId="0" borderId="5" xfId="0" applyNumberFormat="1" applyFont="1" applyFill="1" applyBorder="1"/>
    <xf numFmtId="3" fontId="1" fillId="0" borderId="5" xfId="0" quotePrefix="1" applyNumberFormat="1" applyFont="1" applyFill="1" applyBorder="1" applyAlignment="1">
      <alignment horizontal="left"/>
    </xf>
    <xf numFmtId="3" fontId="0" fillId="0" borderId="5" xfId="0" applyNumberFormat="1" applyFill="1" applyBorder="1"/>
    <xf numFmtId="3" fontId="1" fillId="0" borderId="2" xfId="0" applyNumberFormat="1" applyFont="1" applyFill="1" applyBorder="1"/>
    <xf numFmtId="41" fontId="1" fillId="0" borderId="4" xfId="1" applyNumberFormat="1" applyFont="1" applyFill="1" applyBorder="1"/>
    <xf numFmtId="3" fontId="11" fillId="0" borderId="7" xfId="2" applyNumberFormat="1" applyFont="1" applyFill="1" applyBorder="1"/>
    <xf numFmtId="165" fontId="11" fillId="0" borderId="9" xfId="2" applyNumberFormat="1" applyFont="1" applyFill="1" applyBorder="1"/>
    <xf numFmtId="3" fontId="11" fillId="0" borderId="5" xfId="0" applyNumberFormat="1" applyFont="1" applyFill="1" applyBorder="1" applyAlignment="1">
      <alignment horizontal="left"/>
    </xf>
    <xf numFmtId="10" fontId="11" fillId="0" borderId="6" xfId="1" applyNumberFormat="1" applyFont="1" applyFill="1" applyBorder="1"/>
    <xf numFmtId="10" fontId="11" fillId="0" borderId="5" xfId="1" applyNumberFormat="1" applyFont="1" applyFill="1" applyBorder="1"/>
    <xf numFmtId="3" fontId="20" fillId="0" borderId="7" xfId="0" applyNumberFormat="1" applyFont="1" applyFill="1" applyBorder="1" applyAlignment="1">
      <alignment horizontal="left"/>
    </xf>
    <xf numFmtId="10" fontId="20" fillId="0" borderId="9" xfId="1" applyNumberFormat="1" applyFont="1" applyFill="1" applyBorder="1"/>
    <xf numFmtId="10" fontId="20" fillId="0" borderId="5" xfId="1" applyNumberFormat="1" applyFont="1" applyFill="1" applyBorder="1"/>
    <xf numFmtId="0" fontId="1" fillId="0" borderId="5" xfId="0" applyFont="1" applyFill="1" applyBorder="1" applyAlignment="1">
      <alignment horizontal="left"/>
    </xf>
    <xf numFmtId="44" fontId="1" fillId="0" borderId="6" xfId="1" applyNumberFormat="1" applyFont="1" applyFill="1" applyBorder="1"/>
    <xf numFmtId="44" fontId="1" fillId="0" borderId="5" xfId="1" applyNumberFormat="1" applyFont="1" applyFill="1" applyBorder="1"/>
    <xf numFmtId="0" fontId="11" fillId="0" borderId="5" xfId="0" applyFont="1" applyFill="1" applyBorder="1"/>
    <xf numFmtId="0" fontId="0" fillId="0" borderId="5" xfId="0" applyFill="1" applyBorder="1" applyAlignment="1">
      <alignment horizontal="left"/>
    </xf>
    <xf numFmtId="44" fontId="16" fillId="0" borderId="6" xfId="2" applyNumberFormat="1" applyFont="1" applyFill="1" applyBorder="1"/>
    <xf numFmtId="44" fontId="21" fillId="0" borderId="5" xfId="2" applyNumberFormat="1" applyFont="1" applyFill="1" applyBorder="1"/>
    <xf numFmtId="44" fontId="1" fillId="0" borderId="6" xfId="2" applyFont="1" applyFill="1" applyBorder="1"/>
    <xf numFmtId="44" fontId="1" fillId="0" borderId="5" xfId="2" applyFont="1" applyFill="1" applyBorder="1"/>
    <xf numFmtId="0" fontId="11" fillId="0" borderId="11" xfId="0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" fillId="0" borderId="5" xfId="1" applyNumberFormat="1" applyFont="1" applyFill="1" applyBorder="1"/>
    <xf numFmtId="0" fontId="22" fillId="0" borderId="5" xfId="0" quotePrefix="1" applyFont="1" applyFill="1" applyBorder="1" applyAlignment="1">
      <alignment horizontal="left"/>
    </xf>
    <xf numFmtId="165" fontId="1" fillId="0" borderId="6" xfId="2" applyNumberFormat="1" applyFont="1" applyFill="1" applyBorder="1"/>
    <xf numFmtId="165" fontId="1" fillId="0" borderId="5" xfId="2" applyNumberFormat="1" applyFont="1" applyFill="1" applyBorder="1"/>
    <xf numFmtId="164" fontId="1" fillId="0" borderId="6" xfId="0" applyNumberFormat="1" applyFont="1" applyFill="1" applyBorder="1"/>
    <xf numFmtId="164" fontId="1" fillId="0" borderId="5" xfId="0" applyNumberFormat="1" applyFont="1" applyFill="1" applyBorder="1"/>
    <xf numFmtId="0" fontId="16" fillId="0" borderId="2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3" fontId="22" fillId="0" borderId="7" xfId="2" quotePrefix="1" applyNumberFormat="1" applyFont="1" applyFill="1" applyBorder="1" applyAlignment="1">
      <alignment horizontal="left"/>
    </xf>
    <xf numFmtId="3" fontId="11" fillId="0" borderId="0" xfId="2" quotePrefix="1" applyNumberFormat="1" applyFont="1" applyFill="1" applyBorder="1" applyAlignment="1">
      <alignment horizontal="left"/>
    </xf>
    <xf numFmtId="3" fontId="11" fillId="0" borderId="0" xfId="1" applyNumberFormat="1" applyFont="1" applyFill="1" applyBorder="1"/>
    <xf numFmtId="10" fontId="1" fillId="0" borderId="0" xfId="0" applyNumberFormat="1" applyFont="1" applyFill="1"/>
    <xf numFmtId="43" fontId="1" fillId="0" borderId="0" xfId="1" applyFont="1" applyFill="1" applyBorder="1"/>
    <xf numFmtId="3" fontId="0" fillId="0" borderId="0" xfId="0" quotePrefix="1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left"/>
    </xf>
    <xf numFmtId="0" fontId="24" fillId="0" borderId="0" xfId="0" applyFont="1" applyFill="1"/>
    <xf numFmtId="3" fontId="11" fillId="0" borderId="0" xfId="0" quotePrefix="1" applyNumberFormat="1" applyFont="1" applyFill="1" applyBorder="1" applyAlignment="1">
      <alignment horizontal="left"/>
    </xf>
    <xf numFmtId="3" fontId="1" fillId="0" borderId="0" xfId="0" quotePrefix="1" applyNumberFormat="1" applyFont="1" applyFill="1" applyBorder="1" applyAlignment="1">
      <alignment horizontal="left"/>
    </xf>
    <xf numFmtId="43" fontId="1" fillId="0" borderId="0" xfId="1" applyFont="1" applyFill="1"/>
    <xf numFmtId="0" fontId="0" fillId="0" borderId="0" xfId="0" applyFont="1" applyFill="1"/>
    <xf numFmtId="0" fontId="17" fillId="0" borderId="0" xfId="0" applyFont="1" applyFill="1" applyAlignment="1">
      <alignment horizontal="center"/>
    </xf>
    <xf numFmtId="3" fontId="19" fillId="0" borderId="0" xfId="0" quotePrefix="1" applyNumberFormat="1" applyFont="1" applyFill="1" applyBorder="1" applyAlignment="1">
      <alignment horizontal="left"/>
    </xf>
    <xf numFmtId="10" fontId="17" fillId="0" borderId="0" xfId="0" applyNumberFormat="1" applyFont="1" applyFill="1" applyAlignment="1">
      <alignment horizontal="center"/>
    </xf>
    <xf numFmtId="0" fontId="0" fillId="0" borderId="0" xfId="0" applyFill="1"/>
    <xf numFmtId="166" fontId="24" fillId="0" borderId="0" xfId="1" applyNumberFormat="1" applyFont="1" applyFill="1" applyAlignment="1">
      <alignment horizontal="center"/>
    </xf>
    <xf numFmtId="0" fontId="1" fillId="0" borderId="0" xfId="4" applyFont="1"/>
    <xf numFmtId="0" fontId="14" fillId="0" borderId="0" xfId="4" applyFont="1" applyFill="1" applyBorder="1" applyAlignment="1">
      <alignment vertical="center"/>
    </xf>
    <xf numFmtId="3" fontId="26" fillId="0" borderId="0" xfId="0" applyNumberFormat="1" applyFont="1" applyFill="1" applyBorder="1"/>
    <xf numFmtId="10" fontId="17" fillId="0" borderId="0" xfId="0" applyNumberFormat="1" applyFont="1" applyFill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8" borderId="11" xfId="0" quotePrefix="1" applyFont="1" applyFill="1" applyBorder="1" applyAlignment="1">
      <alignment horizontal="center"/>
    </xf>
    <xf numFmtId="0" fontId="11" fillId="8" borderId="1" xfId="0" quotePrefix="1" applyFont="1" applyFill="1" applyBorder="1" applyAlignment="1">
      <alignment horizontal="center"/>
    </xf>
    <xf numFmtId="0" fontId="1" fillId="0" borderId="2" xfId="0" applyFont="1" applyFill="1" applyBorder="1"/>
    <xf numFmtId="0" fontId="11" fillId="0" borderId="1" xfId="0" quotePrefix="1" applyFont="1" applyFill="1" applyBorder="1" applyAlignment="1">
      <alignment horizontal="left"/>
    </xf>
    <xf numFmtId="37" fontId="11" fillId="0" borderId="1" xfId="0" quotePrefix="1" applyNumberFormat="1" applyFont="1" applyFill="1" applyBorder="1" applyAlignment="1">
      <alignment horizontal="center" wrapText="1"/>
    </xf>
    <xf numFmtId="167" fontId="11" fillId="0" borderId="1" xfId="0" applyNumberFormat="1" applyFont="1" applyFill="1" applyBorder="1" applyAlignment="1">
      <alignment horizontal="center" wrapText="1"/>
    </xf>
    <xf numFmtId="0" fontId="11" fillId="8" borderId="1" xfId="0" quotePrefix="1" applyFont="1" applyFill="1" applyBorder="1" applyAlignment="1">
      <alignment horizontal="center" wrapText="1"/>
    </xf>
    <xf numFmtId="0" fontId="11" fillId="2" borderId="9" xfId="0" quotePrefix="1" applyFont="1" applyFill="1" applyBorder="1" applyAlignment="1">
      <alignment horizontal="center" wrapText="1"/>
    </xf>
    <xf numFmtId="0" fontId="11" fillId="0" borderId="0" xfId="0" quotePrefix="1" applyFont="1" applyFill="1" applyBorder="1" applyAlignment="1">
      <alignment horizontal="center" wrapText="1"/>
    </xf>
    <xf numFmtId="0" fontId="11" fillId="0" borderId="7" xfId="0" applyFont="1" applyFill="1" applyBorder="1" applyAlignment="1"/>
    <xf numFmtId="37" fontId="11" fillId="0" borderId="9" xfId="0" quotePrefix="1" applyNumberFormat="1" applyFont="1" applyFill="1" applyBorder="1" applyAlignment="1">
      <alignment horizontal="center" wrapText="1"/>
    </xf>
    <xf numFmtId="167" fontId="11" fillId="0" borderId="14" xfId="0" applyNumberFormat="1" applyFont="1" applyFill="1" applyBorder="1" applyAlignment="1">
      <alignment horizontal="center" wrapText="1"/>
    </xf>
    <xf numFmtId="0" fontId="11" fillId="0" borderId="6" xfId="0" quotePrefix="1" applyFont="1" applyFill="1" applyBorder="1" applyAlignment="1">
      <alignment horizontal="left"/>
    </xf>
    <xf numFmtId="37" fontId="1" fillId="0" borderId="9" xfId="0" quotePrefix="1" applyNumberFormat="1" applyFont="1" applyFill="1" applyBorder="1" applyAlignment="1">
      <alignment horizontal="center"/>
    </xf>
    <xf numFmtId="0" fontId="11" fillId="0" borderId="9" xfId="0" applyFont="1" applyFill="1" applyBorder="1"/>
    <xf numFmtId="164" fontId="1" fillId="0" borderId="9" xfId="1" applyNumberFormat="1" applyFont="1" applyFill="1" applyBorder="1"/>
    <xf numFmtId="37" fontId="1" fillId="0" borderId="0" xfId="0" quotePrefix="1" applyNumberFormat="1" applyFont="1" applyFill="1" applyBorder="1" applyAlignment="1">
      <alignment horizontal="center"/>
    </xf>
    <xf numFmtId="164" fontId="1" fillId="0" borderId="6" xfId="1" applyNumberFormat="1" applyFont="1" applyFill="1" applyBorder="1"/>
    <xf numFmtId="164" fontId="1" fillId="0" borderId="1" xfId="1" applyNumberFormat="1" applyFont="1" applyFill="1" applyBorder="1" applyAlignment="1">
      <alignment horizontal="center"/>
    </xf>
    <xf numFmtId="164" fontId="1" fillId="0" borderId="0" xfId="1" applyNumberFormat="1" applyFont="1" applyFill="1" applyBorder="1"/>
    <xf numFmtId="164" fontId="1" fillId="0" borderId="6" xfId="1" quotePrefix="1" applyNumberFormat="1" applyFont="1" applyFill="1" applyBorder="1" applyAlignment="1">
      <alignment horizontal="left"/>
    </xf>
    <xf numFmtId="164" fontId="16" fillId="0" borderId="1" xfId="1" applyNumberFormat="1" applyFont="1" applyFill="1" applyBorder="1"/>
    <xf numFmtId="164" fontId="16" fillId="0" borderId="0" xfId="1" applyNumberFormat="1" applyFont="1" applyFill="1" applyBorder="1"/>
    <xf numFmtId="164" fontId="1" fillId="0" borderId="9" xfId="1" quotePrefix="1" applyNumberFormat="1" applyFont="1" applyFill="1" applyBorder="1" applyAlignment="1">
      <alignment horizontal="left"/>
    </xf>
    <xf numFmtId="164" fontId="11" fillId="0" borderId="1" xfId="1" applyNumberFormat="1" applyFont="1" applyFill="1" applyBorder="1" applyAlignment="1">
      <alignment horizontal="left"/>
    </xf>
    <xf numFmtId="165" fontId="11" fillId="0" borderId="1" xfId="2" applyNumberFormat="1" applyFont="1" applyFill="1" applyBorder="1" applyAlignment="1">
      <alignment horizontal="center"/>
    </xf>
    <xf numFmtId="165" fontId="11" fillId="0" borderId="1" xfId="2" applyNumberFormat="1" applyFont="1" applyFill="1" applyBorder="1"/>
    <xf numFmtId="165" fontId="11" fillId="0" borderId="0" xfId="2" applyNumberFormat="1" applyFont="1" applyFill="1" applyBorder="1"/>
    <xf numFmtId="164" fontId="11" fillId="0" borderId="1" xfId="1" quotePrefix="1" applyNumberFormat="1" applyFont="1" applyFill="1" applyBorder="1" applyAlignment="1">
      <alignment horizontal="left"/>
    </xf>
    <xf numFmtId="164" fontId="1" fillId="0" borderId="9" xfId="1" applyNumberFormat="1" applyFont="1" applyFill="1" applyBorder="1" applyAlignment="1">
      <alignment horizontal="center"/>
    </xf>
    <xf numFmtId="164" fontId="16" fillId="0" borderId="9" xfId="1" applyNumberFormat="1" applyFont="1" applyFill="1" applyBorder="1"/>
    <xf numFmtId="164" fontId="0" fillId="0" borderId="1" xfId="1" applyNumberFormat="1" applyFont="1" applyFill="1" applyBorder="1" applyAlignment="1">
      <alignment horizontal="center"/>
    </xf>
    <xf numFmtId="164" fontId="0" fillId="0" borderId="6" xfId="1" quotePrefix="1" applyNumberFormat="1" applyFont="1" applyFill="1" applyBorder="1" applyAlignment="1">
      <alignment horizontal="left"/>
    </xf>
    <xf numFmtId="164" fontId="16" fillId="0" borderId="6" xfId="1" quotePrefix="1" applyNumberFormat="1" applyFont="1" applyFill="1" applyBorder="1" applyAlignment="1">
      <alignment horizontal="left"/>
    </xf>
    <xf numFmtId="164" fontId="0" fillId="0" borderId="0" xfId="1" applyNumberFormat="1" applyFont="1" applyFill="1" applyBorder="1"/>
    <xf numFmtId="165" fontId="11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/>
    <xf numFmtId="165" fontId="11" fillId="0" borderId="0" xfId="0" applyNumberFormat="1" applyFont="1" applyFill="1" applyBorder="1"/>
    <xf numFmtId="164" fontId="1" fillId="0" borderId="0" xfId="1" applyNumberFormat="1" applyFont="1" applyFill="1"/>
    <xf numFmtId="164" fontId="1" fillId="0" borderId="0" xfId="1" applyNumberFormat="1" applyFont="1" applyFill="1" applyBorder="1" applyAlignment="1">
      <alignment horizontal="left"/>
    </xf>
    <xf numFmtId="164" fontId="1" fillId="0" borderId="0" xfId="0" applyNumberFormat="1" applyFont="1" applyFill="1"/>
    <xf numFmtId="9" fontId="1" fillId="0" borderId="0" xfId="0" applyNumberFormat="1" applyFont="1" applyFill="1"/>
    <xf numFmtId="165" fontId="1" fillId="0" borderId="0" xfId="0" applyNumberFormat="1" applyFont="1" applyFill="1"/>
    <xf numFmtId="164" fontId="0" fillId="0" borderId="0" xfId="1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164" fontId="1" fillId="0" borderId="3" xfId="1" applyNumberFormat="1" applyFont="1" applyFill="1" applyBorder="1"/>
    <xf numFmtId="165" fontId="16" fillId="0" borderId="0" xfId="2" applyNumberFormat="1" applyFont="1" applyFill="1" applyBorder="1"/>
    <xf numFmtId="0" fontId="1" fillId="0" borderId="15" xfId="0" applyFont="1" applyFill="1" applyBorder="1"/>
    <xf numFmtId="0" fontId="24" fillId="0" borderId="0" xfId="0" quotePrefix="1" applyFont="1" applyFill="1" applyAlignment="1">
      <alignment horizontal="left"/>
    </xf>
    <xf numFmtId="0" fontId="1" fillId="0" borderId="3" xfId="0" applyFont="1" applyFill="1" applyBorder="1"/>
    <xf numFmtId="3" fontId="11" fillId="0" borderId="0" xfId="4" applyNumberFormat="1" applyFont="1" applyBorder="1" applyAlignment="1">
      <alignment horizontal="left"/>
    </xf>
    <xf numFmtId="164" fontId="11" fillId="0" borderId="0" xfId="1" applyNumberFormat="1" applyFont="1" applyBorder="1"/>
    <xf numFmtId="168" fontId="11" fillId="0" borderId="0" xfId="3" applyNumberFormat="1" applyFont="1" applyBorder="1"/>
    <xf numFmtId="168" fontId="11" fillId="0" borderId="0" xfId="3" applyNumberFormat="1" applyFont="1" applyBorder="1" applyAlignment="1">
      <alignment horizontal="center"/>
    </xf>
    <xf numFmtId="164" fontId="11" fillId="0" borderId="0" xfId="1" quotePrefix="1" applyNumberFormat="1" applyFont="1" applyBorder="1" applyAlignment="1">
      <alignment horizontal="left"/>
    </xf>
    <xf numFmtId="168" fontId="1" fillId="0" borderId="0" xfId="3" applyNumberFormat="1" applyFont="1" applyAlignment="1">
      <alignment horizontal="center"/>
    </xf>
    <xf numFmtId="3" fontId="0" fillId="0" borderId="0" xfId="4" quotePrefix="1" applyNumberFormat="1" applyFont="1" applyBorder="1" applyAlignment="1">
      <alignment horizontal="left"/>
    </xf>
    <xf numFmtId="164" fontId="11" fillId="0" borderId="0" xfId="1" applyNumberFormat="1" applyFont="1" applyFill="1" applyBorder="1"/>
    <xf numFmtId="3" fontId="11" fillId="0" borderId="0" xfId="4" quotePrefix="1" applyNumberFormat="1" applyFont="1" applyBorder="1" applyAlignment="1">
      <alignment horizontal="left"/>
    </xf>
    <xf numFmtId="14" fontId="11" fillId="0" borderId="0" xfId="1" applyNumberFormat="1" applyFont="1" applyBorder="1"/>
    <xf numFmtId="164" fontId="24" fillId="0" borderId="0" xfId="1" applyNumberFormat="1" applyFont="1" applyFill="1" applyBorder="1"/>
    <xf numFmtId="168" fontId="24" fillId="0" borderId="0" xfId="3" applyNumberFormat="1" applyFont="1" applyFill="1" applyBorder="1" applyAlignment="1">
      <alignment horizontal="center"/>
    </xf>
    <xf numFmtId="164" fontId="13" fillId="0" borderId="0" xfId="1" applyNumberFormat="1" applyFont="1" applyFill="1" applyBorder="1"/>
    <xf numFmtId="168" fontId="11" fillId="0" borderId="0" xfId="3" applyNumberFormat="1" applyFont="1" applyFill="1" applyBorder="1" applyAlignment="1">
      <alignment horizontal="center"/>
    </xf>
    <xf numFmtId="3" fontId="26" fillId="0" borderId="8" xfId="4" applyNumberFormat="1" applyFont="1" applyBorder="1"/>
    <xf numFmtId="164" fontId="11" fillId="0" borderId="0" xfId="3" applyNumberFormat="1" applyFont="1" applyBorder="1"/>
    <xf numFmtId="0" fontId="11" fillId="0" borderId="0" xfId="3" applyNumberFormat="1" applyFont="1" applyBorder="1"/>
    <xf numFmtId="0" fontId="1" fillId="0" borderId="4" xfId="4" applyFont="1" applyBorder="1"/>
    <xf numFmtId="0" fontId="1" fillId="0" borderId="17" xfId="4" applyFont="1" applyBorder="1"/>
    <xf numFmtId="0" fontId="1" fillId="0" borderId="18" xfId="4" applyFont="1" applyBorder="1" applyAlignment="1">
      <alignment horizontal="center" wrapText="1"/>
    </xf>
    <xf numFmtId="164" fontId="1" fillId="0" borderId="19" xfId="1" applyNumberFormat="1" applyFont="1" applyBorder="1" applyAlignment="1">
      <alignment horizontal="center"/>
    </xf>
    <xf numFmtId="168" fontId="1" fillId="0" borderId="19" xfId="3" applyNumberFormat="1" applyFont="1" applyBorder="1" applyAlignment="1">
      <alignment horizontal="center"/>
    </xf>
    <xf numFmtId="0" fontId="1" fillId="0" borderId="4" xfId="4" applyFont="1" applyBorder="1" applyAlignment="1">
      <alignment horizontal="center" wrapText="1"/>
    </xf>
    <xf numFmtId="164" fontId="1" fillId="0" borderId="4" xfId="1" applyNumberFormat="1" applyFont="1" applyBorder="1" applyAlignment="1">
      <alignment horizontal="center"/>
    </xf>
    <xf numFmtId="168" fontId="1" fillId="0" borderId="4" xfId="3" applyNumberFormat="1" applyFont="1" applyBorder="1" applyAlignment="1">
      <alignment horizontal="center"/>
    </xf>
    <xf numFmtId="0" fontId="1" fillId="0" borderId="12" xfId="4" applyFont="1" applyBorder="1" applyAlignment="1">
      <alignment horizontal="center" wrapText="1"/>
    </xf>
    <xf numFmtId="0" fontId="19" fillId="0" borderId="6" xfId="4" applyFont="1" applyBorder="1" applyAlignment="1">
      <alignment horizontal="left" vertical="top"/>
    </xf>
    <xf numFmtId="164" fontId="1" fillId="0" borderId="20" xfId="1" applyNumberFormat="1" applyFont="1" applyFill="1" applyBorder="1"/>
    <xf numFmtId="168" fontId="1" fillId="0" borderId="22" xfId="3" applyNumberFormat="1" applyFont="1" applyFill="1" applyBorder="1"/>
    <xf numFmtId="168" fontId="1" fillId="0" borderId="22" xfId="3" applyNumberFormat="1" applyFont="1" applyFill="1" applyBorder="1" applyAlignment="1">
      <alignment horizontal="center"/>
    </xf>
    <xf numFmtId="168" fontId="1" fillId="0" borderId="0" xfId="3" applyNumberFormat="1" applyFont="1" applyFill="1" applyBorder="1"/>
    <xf numFmtId="168" fontId="1" fillId="0" borderId="0" xfId="3" applyNumberFormat="1" applyFont="1" applyFill="1" applyBorder="1" applyAlignment="1">
      <alignment horizontal="center"/>
    </xf>
    <xf numFmtId="164" fontId="1" fillId="0" borderId="21" xfId="1" applyNumberFormat="1" applyFont="1" applyFill="1" applyBorder="1"/>
    <xf numFmtId="164" fontId="29" fillId="0" borderId="0" xfId="1" applyNumberFormat="1" applyFont="1" applyFill="1" applyBorder="1"/>
    <xf numFmtId="168" fontId="29" fillId="0" borderId="22" xfId="3" applyNumberFormat="1" applyFont="1" applyFill="1" applyBorder="1" applyAlignment="1">
      <alignment horizontal="center"/>
    </xf>
    <xf numFmtId="0" fontId="1" fillId="0" borderId="2" xfId="4" applyFont="1" applyBorder="1"/>
    <xf numFmtId="0" fontId="1" fillId="0" borderId="3" xfId="4" applyFont="1" applyBorder="1"/>
    <xf numFmtId="0" fontId="1" fillId="0" borderId="12" xfId="4" applyFont="1" applyBorder="1"/>
    <xf numFmtId="0" fontId="1" fillId="0" borderId="6" xfId="4" applyFont="1" applyFill="1" applyBorder="1" applyAlignment="1">
      <alignment horizontal="left" vertical="top"/>
    </xf>
    <xf numFmtId="164" fontId="16" fillId="0" borderId="5" xfId="1" applyNumberFormat="1" applyFont="1" applyFill="1" applyBorder="1"/>
    <xf numFmtId="168" fontId="16" fillId="0" borderId="22" xfId="3" applyNumberFormat="1" applyFont="1" applyFill="1" applyBorder="1"/>
    <xf numFmtId="168" fontId="16" fillId="0" borderId="22" xfId="3" applyNumberFormat="1" applyFont="1" applyFill="1" applyBorder="1" applyAlignment="1">
      <alignment horizontal="center"/>
    </xf>
    <xf numFmtId="0" fontId="0" fillId="0" borderId="6" xfId="4" quotePrefix="1" applyFont="1" applyFill="1" applyBorder="1" applyAlignment="1">
      <alignment horizontal="left" vertical="top"/>
    </xf>
    <xf numFmtId="43" fontId="16" fillId="0" borderId="0" xfId="1" applyNumberFormat="1" applyFont="1" applyFill="1" applyBorder="1"/>
    <xf numFmtId="0" fontId="11" fillId="0" borderId="1" xfId="4" applyFont="1" applyFill="1" applyBorder="1" applyAlignment="1">
      <alignment horizontal="left" vertical="top"/>
    </xf>
    <xf numFmtId="164" fontId="22" fillId="0" borderId="11" xfId="1" applyNumberFormat="1" applyFont="1" applyFill="1" applyBorder="1"/>
    <xf numFmtId="164" fontId="22" fillId="0" borderId="13" xfId="1" applyNumberFormat="1" applyFont="1" applyFill="1" applyBorder="1"/>
    <xf numFmtId="168" fontId="22" fillId="0" borderId="14" xfId="3" applyNumberFormat="1" applyFont="1" applyBorder="1"/>
    <xf numFmtId="168" fontId="22" fillId="0" borderId="14" xfId="3" applyNumberFormat="1" applyFont="1" applyBorder="1" applyAlignment="1">
      <alignment horizontal="center"/>
    </xf>
    <xf numFmtId="0" fontId="1" fillId="0" borderId="6" xfId="4" applyFont="1" applyBorder="1" applyAlignment="1">
      <alignment horizontal="left" vertical="top"/>
    </xf>
    <xf numFmtId="0" fontId="16" fillId="0" borderId="5" xfId="4" applyFont="1" applyFill="1" applyBorder="1"/>
    <xf numFmtId="0" fontId="16" fillId="0" borderId="0" xfId="4" applyFont="1" applyFill="1" applyBorder="1"/>
    <xf numFmtId="0" fontId="1" fillId="0" borderId="0" xfId="4" applyFont="1" applyFill="1"/>
    <xf numFmtId="0" fontId="11" fillId="0" borderId="1" xfId="4" quotePrefix="1" applyFont="1" applyFill="1" applyBorder="1" applyAlignment="1">
      <alignment horizontal="left" vertical="top"/>
    </xf>
    <xf numFmtId="0" fontId="19" fillId="0" borderId="6" xfId="4" quotePrefix="1" applyFont="1" applyBorder="1" applyAlignment="1">
      <alignment horizontal="left" vertical="top"/>
    </xf>
    <xf numFmtId="164" fontId="22" fillId="0" borderId="11" xfId="4" applyNumberFormat="1" applyFont="1" applyFill="1" applyBorder="1"/>
    <xf numFmtId="164" fontId="22" fillId="0" borderId="13" xfId="4" applyNumberFormat="1" applyFont="1" applyFill="1" applyBorder="1"/>
    <xf numFmtId="164" fontId="16" fillId="0" borderId="5" xfId="4" applyNumberFormat="1" applyFont="1" applyFill="1" applyBorder="1"/>
    <xf numFmtId="164" fontId="16" fillId="0" borderId="0" xfId="4" applyNumberFormat="1" applyFont="1" applyFill="1" applyBorder="1"/>
    <xf numFmtId="0" fontId="11" fillId="0" borderId="1" xfId="4" applyFont="1" applyBorder="1" applyAlignment="1">
      <alignment horizontal="left" vertical="top"/>
    </xf>
    <xf numFmtId="0" fontId="20" fillId="0" borderId="6" xfId="4" applyFont="1" applyBorder="1" applyAlignment="1">
      <alignment horizontal="left" vertical="top"/>
    </xf>
    <xf numFmtId="0" fontId="11" fillId="0" borderId="11" xfId="4" applyFont="1" applyBorder="1"/>
    <xf numFmtId="0" fontId="20" fillId="0" borderId="1" xfId="4" applyFont="1" applyBorder="1" applyAlignment="1">
      <alignment horizontal="left" vertical="top"/>
    </xf>
    <xf numFmtId="0" fontId="16" fillId="0" borderId="2" xfId="4" applyFont="1" applyFill="1" applyBorder="1"/>
    <xf numFmtId="0" fontId="16" fillId="0" borderId="3" xfId="4" applyFont="1" applyFill="1" applyBorder="1"/>
    <xf numFmtId="168" fontId="16" fillId="0" borderId="12" xfId="3" applyNumberFormat="1" applyFont="1" applyFill="1" applyBorder="1"/>
    <xf numFmtId="0" fontId="11" fillId="0" borderId="6" xfId="4" quotePrefix="1" applyFont="1" applyBorder="1" applyAlignment="1">
      <alignment horizontal="left" vertical="top"/>
    </xf>
    <xf numFmtId="168" fontId="16" fillId="0" borderId="12" xfId="3" applyNumberFormat="1" applyFont="1" applyFill="1" applyBorder="1" applyAlignment="1">
      <alignment horizontal="center"/>
    </xf>
    <xf numFmtId="0" fontId="11" fillId="0" borderId="11" xfId="4" applyFont="1" applyBorder="1" applyAlignment="1">
      <alignment horizontal="left" vertical="top"/>
    </xf>
    <xf numFmtId="164" fontId="22" fillId="0" borderId="13" xfId="4" applyNumberFormat="1" applyFont="1" applyBorder="1"/>
    <xf numFmtId="164" fontId="1" fillId="0" borderId="0" xfId="4" applyNumberFormat="1" applyFont="1"/>
    <xf numFmtId="164" fontId="1" fillId="0" borderId="0" xfId="4" applyNumberFormat="1" applyFont="1" applyAlignment="1">
      <alignment horizontal="center"/>
    </xf>
    <xf numFmtId="164" fontId="29" fillId="0" borderId="0" xfId="4" applyNumberFormat="1" applyFont="1"/>
    <xf numFmtId="164" fontId="29" fillId="0" borderId="0" xfId="4" applyNumberFormat="1" applyFont="1" applyAlignment="1">
      <alignment horizontal="center"/>
    </xf>
    <xf numFmtId="0" fontId="0" fillId="0" borderId="0" xfId="4" applyFont="1"/>
    <xf numFmtId="168" fontId="1" fillId="0" borderId="0" xfId="3" applyNumberFormat="1" applyFont="1"/>
    <xf numFmtId="10" fontId="1" fillId="0" borderId="0" xfId="3" applyNumberFormat="1" applyFont="1" applyFill="1"/>
    <xf numFmtId="169" fontId="1" fillId="0" borderId="0" xfId="1" applyNumberFormat="1" applyFont="1" applyFill="1"/>
    <xf numFmtId="0" fontId="1" fillId="0" borderId="0" xfId="4" applyFont="1" applyFill="1" applyBorder="1"/>
    <xf numFmtId="0" fontId="1" fillId="0" borderId="0" xfId="4" applyFont="1" applyBorder="1"/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/>
    <xf numFmtId="164" fontId="1" fillId="0" borderId="3" xfId="1" applyNumberFormat="1" applyFont="1" applyBorder="1"/>
    <xf numFmtId="0" fontId="16" fillId="0" borderId="0" xfId="5" applyFont="1"/>
    <xf numFmtId="0" fontId="22" fillId="0" borderId="0" xfId="5" applyFont="1"/>
    <xf numFmtId="37" fontId="16" fillId="0" borderId="0" xfId="5" applyNumberFormat="1" applyFont="1"/>
    <xf numFmtId="14" fontId="16" fillId="0" borderId="0" xfId="5" applyNumberFormat="1" applyFont="1"/>
    <xf numFmtId="0" fontId="16" fillId="0" borderId="0" xfId="5" applyFont="1" applyFill="1"/>
    <xf numFmtId="3" fontId="19" fillId="0" borderId="0" xfId="0" applyNumberFormat="1" applyFont="1" applyBorder="1" applyAlignment="1">
      <alignment horizontal="left"/>
    </xf>
    <xf numFmtId="0" fontId="16" fillId="0" borderId="0" xfId="5" applyFont="1" applyBorder="1"/>
    <xf numFmtId="0" fontId="11" fillId="8" borderId="1" xfId="0" applyFont="1" applyFill="1" applyBorder="1" applyAlignment="1">
      <alignment horizontal="center"/>
    </xf>
    <xf numFmtId="0" fontId="16" fillId="0" borderId="5" xfId="5" applyFont="1" applyBorder="1"/>
    <xf numFmtId="0" fontId="16" fillId="0" borderId="0" xfId="5" applyFont="1" applyAlignment="1">
      <alignment horizontal="center"/>
    </xf>
    <xf numFmtId="0" fontId="22" fillId="0" borderId="10" xfId="5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1" xfId="0" quotePrefix="1" applyFont="1" applyFill="1" applyBorder="1" applyAlignment="1">
      <alignment horizontal="center"/>
    </xf>
    <xf numFmtId="0" fontId="11" fillId="2" borderId="1" xfId="0" quotePrefix="1" applyFont="1" applyFill="1" applyBorder="1" applyAlignment="1">
      <alignment horizontal="center"/>
    </xf>
    <xf numFmtId="0" fontId="22" fillId="0" borderId="9" xfId="5" applyFont="1" applyBorder="1" applyAlignment="1">
      <alignment horizontal="center"/>
    </xf>
    <xf numFmtId="37" fontId="31" fillId="0" borderId="4" xfId="5" applyNumberFormat="1" applyFont="1" applyBorder="1"/>
    <xf numFmtId="37" fontId="16" fillId="0" borderId="4" xfId="5" applyNumberFormat="1" applyFont="1" applyBorder="1"/>
    <xf numFmtId="37" fontId="16" fillId="0" borderId="12" xfId="5" applyNumberFormat="1" applyFont="1" applyBorder="1"/>
    <xf numFmtId="37" fontId="16" fillId="0" borderId="22" xfId="5" applyNumberFormat="1" applyFont="1" applyBorder="1"/>
    <xf numFmtId="0" fontId="16" fillId="0" borderId="6" xfId="5" applyFont="1" applyBorder="1"/>
    <xf numFmtId="37" fontId="16" fillId="0" borderId="6" xfId="5" applyNumberFormat="1" applyFont="1" applyBorder="1"/>
    <xf numFmtId="164" fontId="16" fillId="0" borderId="6" xfId="1" applyNumberFormat="1" applyFont="1" applyBorder="1"/>
    <xf numFmtId="164" fontId="16" fillId="0" borderId="0" xfId="1" applyNumberFormat="1" applyFont="1"/>
    <xf numFmtId="164" fontId="16" fillId="0" borderId="6" xfId="1" applyNumberFormat="1" applyFont="1" applyFill="1" applyBorder="1"/>
    <xf numFmtId="0" fontId="16" fillId="0" borderId="6" xfId="5" quotePrefix="1" applyFont="1" applyBorder="1" applyAlignment="1">
      <alignment horizontal="left"/>
    </xf>
    <xf numFmtId="0" fontId="16" fillId="0" borderId="4" xfId="5" applyFont="1" applyBorder="1"/>
    <xf numFmtId="164" fontId="16" fillId="0" borderId="4" xfId="5" applyNumberFormat="1" applyFont="1" applyBorder="1"/>
    <xf numFmtId="41" fontId="16" fillId="0" borderId="12" xfId="5" applyNumberFormat="1" applyFont="1" applyBorder="1"/>
    <xf numFmtId="164" fontId="16" fillId="0" borderId="4" xfId="1" applyNumberFormat="1" applyFont="1" applyBorder="1"/>
    <xf numFmtId="37" fontId="16" fillId="0" borderId="6" xfId="5" applyNumberFormat="1" applyFont="1" applyFill="1" applyBorder="1"/>
    <xf numFmtId="0" fontId="22" fillId="0" borderId="4" xfId="5" applyFont="1" applyBorder="1"/>
    <xf numFmtId="37" fontId="22" fillId="0" borderId="4" xfId="5" applyNumberFormat="1" applyFont="1" applyBorder="1"/>
    <xf numFmtId="41" fontId="22" fillId="0" borderId="4" xfId="5" applyNumberFormat="1" applyFont="1" applyBorder="1"/>
    <xf numFmtId="43" fontId="22" fillId="0" borderId="4" xfId="5" applyNumberFormat="1" applyFont="1" applyBorder="1"/>
    <xf numFmtId="0" fontId="18" fillId="5" borderId="1" xfId="5" applyFont="1" applyFill="1" applyBorder="1"/>
    <xf numFmtId="44" fontId="18" fillId="5" borderId="1" xfId="5" applyNumberFormat="1" applyFont="1" applyFill="1" applyBorder="1"/>
    <xf numFmtId="0" fontId="22" fillId="5" borderId="1" xfId="5" applyFont="1" applyFill="1" applyBorder="1"/>
    <xf numFmtId="164" fontId="22" fillId="5" borderId="1" xfId="1" applyNumberFormat="1" applyFont="1" applyFill="1" applyBorder="1"/>
    <xf numFmtId="164" fontId="16" fillId="0" borderId="0" xfId="5" applyNumberFormat="1" applyFont="1"/>
    <xf numFmtId="10" fontId="16" fillId="0" borderId="0" xfId="3" applyNumberFormat="1" applyFont="1"/>
    <xf numFmtId="3" fontId="0" fillId="0" borderId="0" xfId="0" quotePrefix="1" applyNumberFormat="1" applyBorder="1" applyAlignment="1">
      <alignment horizontal="left"/>
    </xf>
    <xf numFmtId="0" fontId="11" fillId="8" borderId="11" xfId="0" applyFont="1" applyFill="1" applyBorder="1" applyAlignment="1">
      <alignment horizontal="center"/>
    </xf>
    <xf numFmtId="0" fontId="11" fillId="0" borderId="1" xfId="0" applyFont="1" applyBorder="1"/>
    <xf numFmtId="41" fontId="11" fillId="8" borderId="14" xfId="0" quotePrefix="1" applyNumberFormat="1" applyFont="1" applyFill="1" applyBorder="1" applyAlignment="1">
      <alignment horizontal="center"/>
    </xf>
    <xf numFmtId="41" fontId="11" fillId="2" borderId="14" xfId="0" applyNumberFormat="1" applyFont="1" applyFill="1" applyBorder="1" applyAlignment="1">
      <alignment horizontal="center"/>
    </xf>
    <xf numFmtId="41" fontId="11" fillId="8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quotePrefix="1" applyFont="1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5" xfId="0" quotePrefix="1" applyFont="1" applyFill="1" applyBorder="1" applyAlignment="1">
      <alignment horizontal="left"/>
    </xf>
    <xf numFmtId="165" fontId="1" fillId="0" borderId="4" xfId="2" applyNumberFormat="1" applyFont="1" applyFill="1" applyBorder="1"/>
    <xf numFmtId="0" fontId="0" fillId="0" borderId="6" xfId="0" quotePrefix="1" applyFont="1" applyFill="1" applyBorder="1" applyAlignment="1">
      <alignment horizontal="left"/>
    </xf>
    <xf numFmtId="0" fontId="1" fillId="0" borderId="2" xfId="0" quotePrefix="1" applyFont="1" applyBorder="1" applyAlignment="1">
      <alignment horizontal="left"/>
    </xf>
    <xf numFmtId="164" fontId="1" fillId="0" borderId="4" xfId="1" applyNumberFormat="1" applyFont="1" applyBorder="1"/>
    <xf numFmtId="0" fontId="1" fillId="0" borderId="4" xfId="0" quotePrefix="1" applyFont="1" applyBorder="1" applyAlignment="1">
      <alignment horizontal="left"/>
    </xf>
    <xf numFmtId="0" fontId="11" fillId="0" borderId="7" xfId="0" quotePrefix="1" applyFont="1" applyBorder="1" applyAlignment="1">
      <alignment horizontal="left"/>
    </xf>
    <xf numFmtId="165" fontId="11" fillId="0" borderId="9" xfId="2" applyNumberFormat="1" applyFont="1" applyBorder="1"/>
    <xf numFmtId="0" fontId="11" fillId="0" borderId="9" xfId="0" quotePrefix="1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1" xfId="0" quotePrefix="1" applyFont="1" applyBorder="1" applyAlignment="1">
      <alignment horizontal="left"/>
    </xf>
    <xf numFmtId="165" fontId="1" fillId="0" borderId="1" xfId="0" applyNumberFormat="1" applyFont="1" applyBorder="1"/>
    <xf numFmtId="165" fontId="1" fillId="0" borderId="0" xfId="0" applyNumberFormat="1" applyFont="1" applyBorder="1"/>
    <xf numFmtId="165" fontId="1" fillId="0" borderId="13" xfId="0" applyNumberFormat="1" applyFont="1" applyBorder="1"/>
    <xf numFmtId="165" fontId="1" fillId="0" borderId="14" xfId="0" applyNumberFormat="1" applyFont="1" applyBorder="1"/>
    <xf numFmtId="0" fontId="1" fillId="0" borderId="5" xfId="0" applyFont="1" applyBorder="1"/>
    <xf numFmtId="165" fontId="16" fillId="0" borderId="6" xfId="2" applyNumberFormat="1" applyFont="1" applyFill="1" applyBorder="1"/>
    <xf numFmtId="0" fontId="1" fillId="0" borderId="6" xfId="0" applyFont="1" applyBorder="1"/>
    <xf numFmtId="165" fontId="1" fillId="0" borderId="0" xfId="2" applyNumberFormat="1" applyFont="1" applyFill="1" applyBorder="1"/>
    <xf numFmtId="0" fontId="1" fillId="0" borderId="5" xfId="0" quotePrefix="1" applyFont="1" applyBorder="1" applyAlignment="1">
      <alignment horizontal="left"/>
    </xf>
    <xf numFmtId="0" fontId="1" fillId="0" borderId="6" xfId="0" quotePrefix="1" applyFont="1" applyBorder="1" applyAlignment="1">
      <alignment horizontal="left"/>
    </xf>
    <xf numFmtId="0" fontId="1" fillId="0" borderId="7" xfId="0" quotePrefix="1" applyFont="1" applyBorder="1" applyAlignment="1">
      <alignment horizontal="left"/>
    </xf>
    <xf numFmtId="0" fontId="1" fillId="0" borderId="9" xfId="0" quotePrefix="1" applyFont="1" applyBorder="1" applyAlignment="1">
      <alignment horizontal="left"/>
    </xf>
    <xf numFmtId="164" fontId="1" fillId="0" borderId="8" xfId="1" applyNumberFormat="1" applyFont="1" applyFill="1" applyBorder="1"/>
    <xf numFmtId="165" fontId="11" fillId="0" borderId="8" xfId="2" applyNumberFormat="1" applyFont="1" applyBorder="1"/>
    <xf numFmtId="0" fontId="11" fillId="0" borderId="11" xfId="0" applyFont="1" applyBorder="1" applyAlignment="1">
      <alignment horizontal="left"/>
    </xf>
    <xf numFmtId="165" fontId="16" fillId="0" borderId="6" xfId="2" applyNumberFormat="1" applyFont="1" applyBorder="1"/>
    <xf numFmtId="165" fontId="16" fillId="0" borderId="4" xfId="2" applyNumberFormat="1" applyFont="1" applyBorder="1"/>
    <xf numFmtId="165" fontId="16" fillId="0" borderId="1" xfId="2" applyNumberFormat="1" applyFont="1" applyBorder="1"/>
    <xf numFmtId="165" fontId="16" fillId="0" borderId="0" xfId="2" applyNumberFormat="1" applyFont="1" applyBorder="1"/>
    <xf numFmtId="0" fontId="1" fillId="0" borderId="5" xfId="0" applyFont="1" applyBorder="1" applyAlignment="1">
      <alignment horizontal="left"/>
    </xf>
    <xf numFmtId="164" fontId="1" fillId="0" borderId="6" xfId="1" applyNumberFormat="1" applyFont="1" applyBorder="1"/>
    <xf numFmtId="0" fontId="1" fillId="0" borderId="6" xfId="0" applyFont="1" applyBorder="1" applyAlignment="1">
      <alignment horizontal="left"/>
    </xf>
    <xf numFmtId="164" fontId="1" fillId="0" borderId="0" xfId="1" applyNumberFormat="1" applyFont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164" fontId="1" fillId="0" borderId="0" xfId="0" applyNumberFormat="1" applyFont="1"/>
    <xf numFmtId="3" fontId="26" fillId="0" borderId="0" xfId="0" applyNumberFormat="1" applyFont="1" applyBorder="1"/>
    <xf numFmtId="0" fontId="24" fillId="0" borderId="0" xfId="0" applyFont="1" applyFill="1" applyAlignment="1">
      <alignment horizontal="center"/>
    </xf>
    <xf numFmtId="0" fontId="11" fillId="7" borderId="1" xfId="0" applyFont="1" applyFill="1" applyBorder="1" applyAlignment="1">
      <alignment horizontal="left"/>
    </xf>
    <xf numFmtId="0" fontId="20" fillId="0" borderId="6" xfId="0" applyFont="1" applyFill="1" applyBorder="1" applyAlignment="1"/>
    <xf numFmtId="0" fontId="11" fillId="0" borderId="6" xfId="0" applyFont="1" applyFill="1" applyBorder="1" applyAlignment="1"/>
    <xf numFmtId="0" fontId="1" fillId="0" borderId="6" xfId="0" applyFont="1" applyFill="1" applyBorder="1" applyAlignment="1"/>
    <xf numFmtId="0" fontId="1" fillId="0" borderId="6" xfId="0" applyFont="1" applyFill="1" applyBorder="1" applyAlignment="1">
      <alignment horizontal="left"/>
    </xf>
    <xf numFmtId="164" fontId="1" fillId="0" borderId="5" xfId="1" applyNumberFormat="1" applyFont="1" applyFill="1" applyBorder="1" applyAlignment="1">
      <alignment horizontal="center"/>
    </xf>
    <xf numFmtId="164" fontId="1" fillId="0" borderId="6" xfId="1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164" fontId="1" fillId="0" borderId="6" xfId="1" applyNumberFormat="1" applyFont="1" applyFill="1" applyBorder="1" applyAlignment="1"/>
    <xf numFmtId="164" fontId="1" fillId="0" borderId="6" xfId="1" applyNumberFormat="1" applyFont="1" applyFill="1" applyBorder="1" applyAlignment="1">
      <alignment horizontal="left"/>
    </xf>
    <xf numFmtId="164" fontId="1" fillId="0" borderId="5" xfId="1" applyNumberFormat="1" applyFont="1" applyFill="1" applyBorder="1" applyAlignment="1"/>
    <xf numFmtId="0" fontId="1" fillId="0" borderId="4" xfId="0" applyFont="1" applyFill="1" applyBorder="1" applyAlignment="1">
      <alignment horizontal="left"/>
    </xf>
    <xf numFmtId="164" fontId="1" fillId="0" borderId="2" xfId="1" applyNumberFormat="1" applyFont="1" applyFill="1" applyBorder="1" applyAlignment="1">
      <alignment horizontal="center"/>
    </xf>
    <xf numFmtId="164" fontId="1" fillId="0" borderId="2" xfId="1" applyNumberFormat="1" applyFont="1" applyFill="1" applyBorder="1" applyAlignment="1">
      <alignment horizontal="left"/>
    </xf>
    <xf numFmtId="164" fontId="1" fillId="0" borderId="4" xfId="1" applyNumberFormat="1" applyFont="1" applyFill="1" applyBorder="1" applyAlignment="1">
      <alignment horizontal="center"/>
    </xf>
    <xf numFmtId="0" fontId="11" fillId="0" borderId="9" xfId="0" applyFont="1" applyFill="1" applyBorder="1" applyAlignment="1"/>
    <xf numFmtId="164" fontId="11" fillId="0" borderId="9" xfId="1" applyNumberFormat="1" applyFont="1" applyFill="1" applyBorder="1" applyAlignment="1"/>
    <xf numFmtId="0" fontId="29" fillId="0" borderId="0" xfId="0" applyFont="1" applyFill="1"/>
    <xf numFmtId="44" fontId="1" fillId="0" borderId="6" xfId="2" applyNumberFormat="1" applyFont="1" applyFill="1" applyBorder="1" applyAlignment="1"/>
    <xf numFmtId="44" fontId="0" fillId="0" borderId="0" xfId="0" applyNumberFormat="1" applyFont="1" applyFill="1"/>
    <xf numFmtId="43" fontId="1" fillId="0" borderId="6" xfId="1" applyNumberFormat="1" applyFont="1" applyFill="1" applyBorder="1" applyAlignment="1"/>
    <xf numFmtId="43" fontId="0" fillId="0" borderId="0" xfId="0" applyNumberFormat="1" applyFont="1" applyFill="1" applyBorder="1"/>
    <xf numFmtId="43" fontId="0" fillId="0" borderId="0" xfId="0" applyNumberFormat="1" applyFont="1" applyFill="1"/>
    <xf numFmtId="43" fontId="1" fillId="0" borderId="6" xfId="1" applyNumberFormat="1" applyFont="1" applyFill="1" applyBorder="1" applyAlignment="1">
      <alignment horizontal="left"/>
    </xf>
    <xf numFmtId="0" fontId="11" fillId="0" borderId="4" xfId="0" applyFont="1" applyFill="1" applyBorder="1" applyAlignment="1"/>
    <xf numFmtId="0" fontId="1" fillId="0" borderId="4" xfId="0" applyFont="1" applyFill="1" applyBorder="1" applyAlignment="1"/>
    <xf numFmtId="165" fontId="1" fillId="0" borderId="6" xfId="2" applyNumberFormat="1" applyFont="1" applyFill="1" applyBorder="1" applyAlignment="1"/>
    <xf numFmtId="37" fontId="1" fillId="0" borderId="6" xfId="2" applyNumberFormat="1" applyFont="1" applyFill="1" applyBorder="1" applyAlignment="1"/>
    <xf numFmtId="0" fontId="1" fillId="9" borderId="4" xfId="0" applyFont="1" applyFill="1" applyBorder="1" applyAlignment="1"/>
    <xf numFmtId="37" fontId="1" fillId="9" borderId="4" xfId="2" applyNumberFormat="1" applyFont="1" applyFill="1" applyBorder="1" applyAlignment="1"/>
    <xf numFmtId="0" fontId="11" fillId="9" borderId="9" xfId="0" applyFont="1" applyFill="1" applyBorder="1" applyAlignment="1"/>
    <xf numFmtId="165" fontId="11" fillId="9" borderId="9" xfId="2" applyNumberFormat="1" applyFont="1" applyFill="1" applyBorder="1" applyAlignment="1"/>
    <xf numFmtId="170" fontId="11" fillId="5" borderId="1" xfId="0" applyNumberFormat="1" applyFont="1" applyFill="1" applyBorder="1" applyAlignment="1">
      <alignment horizontal="left"/>
    </xf>
    <xf numFmtId="170" fontId="11" fillId="5" borderId="11" xfId="0" applyNumberFormat="1" applyFont="1" applyFill="1" applyBorder="1" applyAlignment="1">
      <alignment horizontal="center"/>
    </xf>
    <xf numFmtId="170" fontId="11" fillId="5" borderId="1" xfId="0" applyNumberFormat="1" applyFont="1" applyFill="1" applyBorder="1" applyAlignment="1">
      <alignment horizontal="center"/>
    </xf>
    <xf numFmtId="0" fontId="20" fillId="0" borderId="4" xfId="0" applyFont="1" applyFill="1" applyBorder="1" applyAlignment="1"/>
    <xf numFmtId="164" fontId="1" fillId="0" borderId="4" xfId="1" applyNumberFormat="1" applyFont="1" applyFill="1" applyBorder="1" applyAlignment="1"/>
    <xf numFmtId="164" fontId="29" fillId="0" borderId="4" xfId="1" applyNumberFormat="1" applyFont="1" applyFill="1" applyBorder="1" applyAlignment="1"/>
    <xf numFmtId="44" fontId="1" fillId="0" borderId="6" xfId="2" applyFont="1" applyFill="1" applyBorder="1" applyAlignment="1"/>
    <xf numFmtId="43" fontId="1" fillId="0" borderId="6" xfId="0" applyNumberFormat="1" applyFont="1" applyFill="1" applyBorder="1" applyAlignment="1"/>
    <xf numFmtId="43" fontId="1" fillId="0" borderId="6" xfId="1" applyFont="1" applyFill="1" applyBorder="1" applyAlignment="1"/>
    <xf numFmtId="0" fontId="29" fillId="0" borderId="4" xfId="0" applyFont="1" applyFill="1" applyBorder="1" applyAlignment="1"/>
    <xf numFmtId="0" fontId="16" fillId="0" borderId="6" xfId="0" applyFont="1" applyFill="1" applyBorder="1" applyAlignment="1">
      <alignment horizontal="left"/>
    </xf>
    <xf numFmtId="0" fontId="16" fillId="0" borderId="6" xfId="0" applyFont="1" applyFill="1" applyBorder="1" applyAlignment="1"/>
    <xf numFmtId="0" fontId="1" fillId="5" borderId="4" xfId="0" applyFont="1" applyFill="1" applyBorder="1" applyAlignment="1"/>
    <xf numFmtId="164" fontId="1" fillId="5" borderId="4" xfId="1" applyNumberFormat="1" applyFont="1" applyFill="1" applyBorder="1" applyAlignment="1"/>
    <xf numFmtId="0" fontId="11" fillId="5" borderId="9" xfId="0" applyFont="1" applyFill="1" applyBorder="1" applyAlignment="1"/>
    <xf numFmtId="165" fontId="11" fillId="5" borderId="9" xfId="2" applyNumberFormat="1" applyFont="1" applyFill="1" applyBorder="1" applyAlignment="1"/>
    <xf numFmtId="170" fontId="11" fillId="8" borderId="7" xfId="0" applyNumberFormat="1" applyFont="1" applyFill="1" applyBorder="1" applyAlignment="1">
      <alignment horizontal="left"/>
    </xf>
    <xf numFmtId="42" fontId="11" fillId="8" borderId="1" xfId="0" applyNumberFormat="1" applyFont="1" applyFill="1" applyBorder="1" applyAlignment="1">
      <alignment horizontal="right"/>
    </xf>
    <xf numFmtId="0" fontId="1" fillId="0" borderId="12" xfId="0" applyFont="1" applyFill="1" applyBorder="1"/>
    <xf numFmtId="0" fontId="11" fillId="2" borderId="1" xfId="0" applyFont="1" applyFill="1" applyBorder="1"/>
    <xf numFmtId="165" fontId="11" fillId="2" borderId="1" xfId="2" applyNumberFormat="1" applyFont="1" applyFill="1" applyBorder="1"/>
    <xf numFmtId="165" fontId="0" fillId="0" borderId="0" xfId="0" applyNumberFormat="1" applyFont="1" applyFill="1"/>
    <xf numFmtId="43" fontId="24" fillId="0" borderId="0" xfId="0" applyNumberFormat="1" applyFont="1" applyFill="1"/>
    <xf numFmtId="0" fontId="1" fillId="0" borderId="0" xfId="6" quotePrefix="1" applyFont="1" applyFill="1" applyAlignment="1">
      <alignment horizontal="right" vertical="center"/>
    </xf>
    <xf numFmtId="0" fontId="1" fillId="0" borderId="0" xfId="0" applyFont="1" applyBorder="1"/>
    <xf numFmtId="0" fontId="17" fillId="0" borderId="0" xfId="0" applyFont="1" applyAlignment="1">
      <alignment horizontal="center"/>
    </xf>
    <xf numFmtId="3" fontId="17" fillId="0" borderId="0" xfId="0" applyNumberFormat="1" applyFont="1" applyBorder="1"/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0" fontId="17" fillId="0" borderId="0" xfId="3" applyNumberFormat="1" applyFont="1" applyAlignment="1">
      <alignment horizontal="center"/>
    </xf>
    <xf numFmtId="0" fontId="1" fillId="0" borderId="4" xfId="0" applyFont="1" applyBorder="1"/>
    <xf numFmtId="0" fontId="17" fillId="0" borderId="10" xfId="0" applyFont="1" applyBorder="1" applyAlignment="1">
      <alignment wrapText="1"/>
    </xf>
    <xf numFmtId="41" fontId="11" fillId="7" borderId="11" xfId="0" applyNumberFormat="1" applyFont="1" applyFill="1" applyBorder="1" applyAlignment="1">
      <alignment horizontal="center" wrapText="1"/>
    </xf>
    <xf numFmtId="41" fontId="11" fillId="7" borderId="1" xfId="0" applyNumberFormat="1" applyFont="1" applyFill="1" applyBorder="1" applyAlignment="1">
      <alignment horizontal="center" wrapText="1"/>
    </xf>
    <xf numFmtId="41" fontId="11" fillId="8" borderId="11" xfId="0" applyNumberFormat="1" applyFont="1" applyFill="1" applyBorder="1" applyAlignment="1">
      <alignment horizontal="center" wrapText="1"/>
    </xf>
    <xf numFmtId="41" fontId="11" fillId="2" borderId="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7" fillId="0" borderId="9" xfId="0" applyFont="1" applyBorder="1" applyAlignment="1">
      <alignment wrapText="1"/>
    </xf>
    <xf numFmtId="0" fontId="0" fillId="0" borderId="5" xfId="0" applyFont="1" applyBorder="1" applyAlignment="1">
      <alignment horizontal="left"/>
    </xf>
    <xf numFmtId="0" fontId="0" fillId="0" borderId="0" xfId="0" applyFont="1" applyBorder="1"/>
    <xf numFmtId="0" fontId="0" fillId="0" borderId="5" xfId="0" applyBorder="1" applyAlignment="1">
      <alignment horizontal="left"/>
    </xf>
    <xf numFmtId="164" fontId="1" fillId="0" borderId="4" xfId="1" applyNumberFormat="1" applyFont="1" applyFill="1" applyBorder="1"/>
    <xf numFmtId="164" fontId="11" fillId="0" borderId="9" xfId="1" applyNumberFormat="1" applyFont="1" applyBorder="1"/>
    <xf numFmtId="164" fontId="11" fillId="0" borderId="9" xfId="1" applyNumberFormat="1" applyFont="1" applyFill="1" applyBorder="1"/>
    <xf numFmtId="164" fontId="1" fillId="0" borderId="0" xfId="0" applyNumberFormat="1" applyFont="1" applyBorder="1"/>
    <xf numFmtId="0" fontId="1" fillId="0" borderId="0" xfId="6" quotePrefix="1" applyFont="1" applyFill="1" applyAlignment="1">
      <alignment horizontal="left" vertical="center"/>
    </xf>
    <xf numFmtId="0" fontId="0" fillId="0" borderId="0" xfId="0" quotePrefix="1" applyFont="1" applyAlignment="1">
      <alignment horizontal="left"/>
    </xf>
    <xf numFmtId="0" fontId="33" fillId="0" borderId="0" xfId="0" applyFont="1" applyFill="1" applyAlignment="1"/>
    <xf numFmtId="3" fontId="7" fillId="0" borderId="0" xfId="0" quotePrefix="1" applyNumberFormat="1" applyFont="1" applyFill="1" applyBorder="1" applyAlignment="1">
      <alignment horizontal="left"/>
    </xf>
    <xf numFmtId="171" fontId="33" fillId="0" borderId="0" xfId="1" applyNumberFormat="1" applyFont="1" applyFill="1" applyAlignment="1"/>
    <xf numFmtId="164" fontId="33" fillId="0" borderId="0" xfId="1" applyNumberFormat="1" applyFont="1" applyFill="1" applyAlignment="1"/>
    <xf numFmtId="0" fontId="33" fillId="0" borderId="0" xfId="0" applyFont="1" applyFill="1" applyBorder="1" applyAlignment="1"/>
    <xf numFmtId="3" fontId="1" fillId="0" borderId="0" xfId="0" quotePrefix="1" applyNumberFormat="1" applyFont="1" applyBorder="1" applyAlignment="1">
      <alignment horizontal="left"/>
    </xf>
    <xf numFmtId="168" fontId="33" fillId="0" borderId="0" xfId="1" applyNumberFormat="1" applyFont="1" applyFill="1" applyAlignment="1"/>
    <xf numFmtId="0" fontId="34" fillId="0" borderId="0" xfId="0" applyFont="1" applyFill="1" applyBorder="1" applyAlignment="1"/>
    <xf numFmtId="0" fontId="33" fillId="0" borderId="4" xfId="0" applyFont="1" applyFill="1" applyBorder="1" applyAlignment="1"/>
    <xf numFmtId="0" fontId="33" fillId="0" borderId="22" xfId="0" applyFont="1" applyFill="1" applyBorder="1" applyAlignment="1"/>
    <xf numFmtId="0" fontId="33" fillId="0" borderId="6" xfId="0" applyFont="1" applyFill="1" applyBorder="1" applyAlignment="1"/>
    <xf numFmtId="171" fontId="34" fillId="0" borderId="10" xfId="1" applyNumberFormat="1" applyFont="1" applyFill="1" applyBorder="1" applyAlignment="1">
      <alignment horizontal="center"/>
    </xf>
    <xf numFmtId="171" fontId="34" fillId="0" borderId="9" xfId="1" applyNumberFormat="1" applyFont="1" applyFill="1" applyBorder="1" applyAlignment="1">
      <alignment horizontal="center"/>
    </xf>
    <xf numFmtId="164" fontId="34" fillId="0" borderId="14" xfId="1" applyNumberFormat="1" applyFont="1" applyFill="1" applyBorder="1" applyAlignment="1">
      <alignment horizontal="center"/>
    </xf>
    <xf numFmtId="164" fontId="34" fillId="0" borderId="8" xfId="1" applyNumberFormat="1" applyFont="1" applyFill="1" applyBorder="1" applyAlignment="1">
      <alignment horizontal="center"/>
    </xf>
    <xf numFmtId="164" fontId="34" fillId="0" borderId="10" xfId="1" applyNumberFormat="1" applyFont="1" applyFill="1" applyBorder="1" applyAlignment="1">
      <alignment horizontal="center"/>
    </xf>
    <xf numFmtId="0" fontId="33" fillId="0" borderId="9" xfId="0" applyFont="1" applyFill="1" applyBorder="1" applyAlignment="1"/>
    <xf numFmtId="164" fontId="34" fillId="0" borderId="1" xfId="1" applyNumberFormat="1" applyFont="1" applyFill="1" applyBorder="1" applyAlignment="1">
      <alignment horizontal="left"/>
    </xf>
    <xf numFmtId="171" fontId="34" fillId="0" borderId="11" xfId="1" applyNumberFormat="1" applyFont="1" applyFill="1" applyBorder="1" applyAlignment="1">
      <alignment horizontal="left"/>
    </xf>
    <xf numFmtId="164" fontId="34" fillId="0" borderId="1" xfId="1" applyNumberFormat="1" applyFont="1" applyFill="1" applyBorder="1" applyAlignment="1">
      <alignment horizontal="center"/>
    </xf>
    <xf numFmtId="164" fontId="34" fillId="0" borderId="11" xfId="1" applyNumberFormat="1" applyFont="1" applyFill="1" applyBorder="1" applyAlignment="1">
      <alignment horizontal="center"/>
    </xf>
    <xf numFmtId="171" fontId="34" fillId="0" borderId="11" xfId="1" applyNumberFormat="1" applyFont="1" applyFill="1" applyBorder="1" applyAlignment="1">
      <alignment horizontal="center"/>
    </xf>
    <xf numFmtId="171" fontId="34" fillId="0" borderId="1" xfId="1" applyNumberFormat="1" applyFont="1" applyFill="1" applyBorder="1" applyAlignment="1">
      <alignment horizontal="left"/>
    </xf>
    <xf numFmtId="164" fontId="34" fillId="0" borderId="9" xfId="1" applyNumberFormat="1" applyFont="1" applyFill="1" applyBorder="1" applyAlignment="1">
      <alignment horizontal="left"/>
    </xf>
    <xf numFmtId="171" fontId="33" fillId="0" borderId="4" xfId="1" quotePrefix="1" applyNumberFormat="1" applyFont="1" applyFill="1" applyBorder="1" applyAlignment="1">
      <alignment horizontal="left"/>
    </xf>
    <xf numFmtId="172" fontId="33" fillId="0" borderId="4" xfId="1" applyNumberFormat="1" applyFont="1" applyFill="1" applyBorder="1" applyAlignment="1"/>
    <xf numFmtId="164" fontId="33" fillId="0" borderId="4" xfId="1" applyNumberFormat="1" applyFont="1" applyFill="1" applyBorder="1" applyAlignment="1"/>
    <xf numFmtId="172" fontId="32" fillId="0" borderId="4" xfId="1" applyNumberFormat="1" applyFont="1" applyFill="1" applyBorder="1" applyAlignment="1"/>
    <xf numFmtId="164" fontId="32" fillId="0" borderId="4" xfId="1" applyNumberFormat="1" applyFont="1" applyFill="1" applyBorder="1" applyAlignment="1"/>
    <xf numFmtId="171" fontId="33" fillId="0" borderId="6" xfId="1" quotePrefix="1" applyNumberFormat="1" applyFont="1" applyFill="1" applyBorder="1" applyAlignment="1">
      <alignment horizontal="left"/>
    </xf>
    <xf numFmtId="172" fontId="33" fillId="0" borderId="6" xfId="1" applyNumberFormat="1" applyFont="1" applyFill="1" applyBorder="1" applyAlignment="1"/>
    <xf numFmtId="164" fontId="33" fillId="0" borderId="6" xfId="1" applyNumberFormat="1" applyFont="1" applyFill="1" applyBorder="1" applyAlignment="1"/>
    <xf numFmtId="172" fontId="32" fillId="0" borderId="6" xfId="1" applyNumberFormat="1" applyFont="1" applyFill="1" applyBorder="1" applyAlignment="1"/>
    <xf numFmtId="164" fontId="32" fillId="0" borderId="6" xfId="1" applyNumberFormat="1" applyFont="1" applyFill="1" applyBorder="1" applyAlignment="1"/>
    <xf numFmtId="171" fontId="33" fillId="0" borderId="6" xfId="1" applyNumberFormat="1" applyFont="1" applyFill="1" applyBorder="1" applyAlignment="1">
      <alignment horizontal="left"/>
    </xf>
    <xf numFmtId="171" fontId="33" fillId="0" borderId="9" xfId="1" applyNumberFormat="1" applyFont="1" applyFill="1" applyBorder="1" applyAlignment="1">
      <alignment horizontal="left"/>
    </xf>
    <xf numFmtId="172" fontId="32" fillId="0" borderId="9" xfId="1" applyNumberFormat="1" applyFont="1" applyFill="1" applyBorder="1" applyAlignment="1"/>
    <xf numFmtId="164" fontId="32" fillId="0" borderId="9" xfId="1" applyNumberFormat="1" applyFont="1" applyFill="1" applyBorder="1" applyAlignment="1"/>
    <xf numFmtId="171" fontId="33" fillId="0" borderId="4" xfId="1" applyNumberFormat="1" applyFont="1" applyFill="1" applyBorder="1" applyAlignment="1">
      <alignment horizontal="left"/>
    </xf>
    <xf numFmtId="172" fontId="33" fillId="0" borderId="4" xfId="1" applyNumberFormat="1" applyFont="1" applyFill="1" applyBorder="1" applyAlignment="1">
      <alignment vertical="top"/>
    </xf>
    <xf numFmtId="164" fontId="33" fillId="0" borderId="4" xfId="1" applyNumberFormat="1" applyFont="1" applyFill="1" applyBorder="1" applyAlignment="1">
      <alignment vertical="top"/>
    </xf>
    <xf numFmtId="164" fontId="34" fillId="0" borderId="23" xfId="1" quotePrefix="1" applyNumberFormat="1" applyFont="1" applyFill="1" applyBorder="1" applyAlignment="1">
      <alignment horizontal="left"/>
    </xf>
    <xf numFmtId="172" fontId="34" fillId="0" borderId="23" xfId="1" quotePrefix="1" applyNumberFormat="1" applyFont="1" applyFill="1" applyBorder="1" applyAlignment="1"/>
    <xf numFmtId="165" fontId="34" fillId="0" borderId="23" xfId="2" quotePrefix="1" applyNumberFormat="1" applyFont="1" applyFill="1" applyBorder="1" applyAlignment="1"/>
    <xf numFmtId="164" fontId="33" fillId="0" borderId="15" xfId="1" applyNumberFormat="1" applyFont="1" applyFill="1" applyBorder="1"/>
    <xf numFmtId="164" fontId="33" fillId="0" borderId="0" xfId="1" applyNumberFormat="1" applyFont="1" applyFill="1" applyBorder="1"/>
    <xf numFmtId="172" fontId="33" fillId="0" borderId="0" xfId="1" applyNumberFormat="1" applyFont="1" applyFill="1" applyBorder="1"/>
    <xf numFmtId="9" fontId="33" fillId="0" borderId="0" xfId="3" applyFont="1" applyFill="1" applyBorder="1"/>
    <xf numFmtId="9" fontId="33" fillId="0" borderId="0" xfId="1" applyNumberFormat="1" applyFont="1" applyFill="1" applyBorder="1"/>
    <xf numFmtId="164" fontId="34" fillId="0" borderId="8" xfId="1" quotePrefix="1" applyNumberFormat="1" applyFont="1" applyFill="1" applyBorder="1" applyAlignment="1">
      <alignment horizontal="left"/>
    </xf>
    <xf numFmtId="164" fontId="34" fillId="0" borderId="0" xfId="1" quotePrefix="1" applyNumberFormat="1" applyFont="1" applyFill="1" applyBorder="1" applyAlignment="1">
      <alignment horizontal="left"/>
    </xf>
    <xf numFmtId="172" fontId="34" fillId="0" borderId="0" xfId="1" quotePrefix="1" applyNumberFormat="1" applyFont="1" applyFill="1" applyBorder="1" applyAlignment="1">
      <alignment horizontal="left"/>
    </xf>
    <xf numFmtId="0" fontId="1" fillId="0" borderId="0" xfId="7" applyBorder="1"/>
    <xf numFmtId="43" fontId="1" fillId="0" borderId="0" xfId="7" applyNumberFormat="1" applyBorder="1"/>
    <xf numFmtId="164" fontId="34" fillId="0" borderId="8" xfId="1" applyNumberFormat="1" applyFont="1" applyFill="1" applyBorder="1" applyAlignment="1">
      <alignment horizontal="left"/>
    </xf>
    <xf numFmtId="164" fontId="34" fillId="0" borderId="0" xfId="1" applyNumberFormat="1" applyFont="1" applyFill="1" applyBorder="1" applyAlignment="1">
      <alignment horizontal="left"/>
    </xf>
    <xf numFmtId="172" fontId="34" fillId="0" borderId="0" xfId="1" applyNumberFormat="1" applyFont="1" applyFill="1" applyBorder="1" applyAlignment="1">
      <alignment horizontal="left"/>
    </xf>
    <xf numFmtId="0" fontId="11" fillId="0" borderId="0" xfId="7" applyFont="1" applyFill="1" applyBorder="1" applyAlignment="1">
      <alignment horizontal="center"/>
    </xf>
    <xf numFmtId="172" fontId="11" fillId="0" borderId="0" xfId="7" applyNumberFormat="1" applyFont="1" applyFill="1" applyBorder="1" applyAlignment="1">
      <alignment horizontal="center"/>
    </xf>
    <xf numFmtId="0" fontId="34" fillId="0" borderId="0" xfId="7" applyFont="1" applyFill="1" applyBorder="1"/>
    <xf numFmtId="172" fontId="34" fillId="0" borderId="0" xfId="7" applyNumberFormat="1" applyFont="1" applyFill="1" applyBorder="1"/>
    <xf numFmtId="164" fontId="33" fillId="0" borderId="9" xfId="1" applyNumberFormat="1" applyFont="1" applyFill="1" applyBorder="1" applyAlignment="1"/>
    <xf numFmtId="172" fontId="1" fillId="0" borderId="0" xfId="7" applyNumberFormat="1" applyFill="1" applyBorder="1"/>
    <xf numFmtId="0" fontId="1" fillId="0" borderId="0" xfId="7" applyFill="1" applyBorder="1"/>
    <xf numFmtId="164" fontId="33" fillId="0" borderId="8" xfId="1" applyNumberFormat="1" applyFont="1" applyFill="1" applyBorder="1"/>
    <xf numFmtId="172" fontId="33" fillId="0" borderId="0" xfId="1" quotePrefix="1" applyNumberFormat="1" applyFont="1" applyFill="1" applyBorder="1" applyAlignment="1">
      <alignment horizontal="left"/>
    </xf>
    <xf numFmtId="164" fontId="33" fillId="0" borderId="0" xfId="1" quotePrefix="1" applyNumberFormat="1" applyFont="1" applyFill="1" applyBorder="1" applyAlignment="1">
      <alignment horizontal="left"/>
    </xf>
    <xf numFmtId="172" fontId="1" fillId="0" borderId="0" xfId="7" applyNumberFormat="1" applyFont="1" applyFill="1" applyBorder="1"/>
    <xf numFmtId="0" fontId="1" fillId="0" borderId="0" xfId="7" applyFont="1" applyFill="1" applyBorder="1"/>
    <xf numFmtId="172" fontId="33" fillId="0" borderId="0" xfId="1" applyNumberFormat="1" applyFont="1" applyFill="1" applyBorder="1" applyAlignment="1">
      <alignment horizontal="left"/>
    </xf>
    <xf numFmtId="164" fontId="33" fillId="0" borderId="0" xfId="1" applyNumberFormat="1" applyFont="1" applyFill="1" applyBorder="1" applyAlignment="1">
      <alignment horizontal="left"/>
    </xf>
    <xf numFmtId="172" fontId="33" fillId="0" borderId="23" xfId="1" quotePrefix="1" applyNumberFormat="1" applyFont="1" applyFill="1" applyBorder="1" applyAlignment="1"/>
    <xf numFmtId="172" fontId="33" fillId="0" borderId="0" xfId="1" applyNumberFormat="1" applyFont="1" applyFill="1" applyAlignment="1"/>
    <xf numFmtId="164" fontId="0" fillId="0" borderId="0" xfId="1" applyNumberFormat="1" applyFont="1"/>
    <xf numFmtId="3" fontId="11" fillId="0" borderId="0" xfId="4" applyNumberFormat="1" applyFont="1" applyFill="1" applyBorder="1" applyAlignment="1">
      <alignment horizontal="left"/>
    </xf>
    <xf numFmtId="3" fontId="11" fillId="0" borderId="0" xfId="4" quotePrefix="1" applyNumberFormat="1" applyFont="1" applyFill="1" applyBorder="1" applyAlignment="1">
      <alignment horizontal="left"/>
    </xf>
    <xf numFmtId="37" fontId="25" fillId="0" borderId="0" xfId="5" applyNumberFormat="1" applyFont="1" applyFill="1" applyBorder="1" applyAlignment="1">
      <alignment horizontal="center" vertical="center"/>
    </xf>
    <xf numFmtId="169" fontId="11" fillId="0" borderId="0" xfId="1" quotePrefix="1" applyNumberFormat="1" applyFont="1" applyBorder="1" applyAlignment="1">
      <alignment horizontal="left"/>
    </xf>
    <xf numFmtId="9" fontId="11" fillId="0" borderId="0" xfId="3" quotePrefix="1" applyFont="1" applyBorder="1" applyAlignment="1">
      <alignment horizontal="center"/>
    </xf>
    <xf numFmtId="3" fontId="11" fillId="8" borderId="4" xfId="4" applyNumberFormat="1" applyFont="1" applyFill="1" applyBorder="1" applyAlignment="1">
      <alignment horizontal="center"/>
    </xf>
    <xf numFmtId="3" fontId="11" fillId="2" borderId="12" xfId="4" applyNumberFormat="1" applyFont="1" applyFill="1" applyBorder="1" applyAlignment="1">
      <alignment horizontal="center" wrapText="1"/>
    </xf>
    <xf numFmtId="3" fontId="11" fillId="0" borderId="0" xfId="4" applyNumberFormat="1" applyFont="1" applyFill="1" applyBorder="1" applyAlignment="1">
      <alignment horizontal="center" wrapText="1"/>
    </xf>
    <xf numFmtId="3" fontId="11" fillId="0" borderId="4" xfId="4" quotePrefix="1" applyNumberFormat="1" applyFont="1" applyBorder="1" applyAlignment="1">
      <alignment horizontal="left"/>
    </xf>
    <xf numFmtId="0" fontId="36" fillId="0" borderId="22" xfId="4" applyFont="1" applyBorder="1" applyAlignment="1">
      <alignment horizontal="left"/>
    </xf>
    <xf numFmtId="0" fontId="11" fillId="7" borderId="11" xfId="4" quotePrefix="1" applyFont="1" applyFill="1" applyBorder="1" applyAlignment="1">
      <alignment horizontal="center"/>
    </xf>
    <xf numFmtId="0" fontId="11" fillId="7" borderId="14" xfId="4" quotePrefix="1" applyFont="1" applyFill="1" applyBorder="1" applyAlignment="1">
      <alignment horizontal="center"/>
    </xf>
    <xf numFmtId="0" fontId="11" fillId="8" borderId="1" xfId="4" quotePrefix="1" applyFont="1" applyFill="1" applyBorder="1" applyAlignment="1">
      <alignment horizontal="center"/>
    </xf>
    <xf numFmtId="0" fontId="11" fillId="2" borderId="14" xfId="4" quotePrefix="1" applyFont="1" applyFill="1" applyBorder="1" applyAlignment="1">
      <alignment horizontal="center"/>
    </xf>
    <xf numFmtId="0" fontId="11" fillId="0" borderId="0" xfId="4" quotePrefix="1" applyFont="1" applyBorder="1" applyAlignment="1">
      <alignment horizontal="right"/>
    </xf>
    <xf numFmtId="0" fontId="1" fillId="0" borderId="0" xfId="4" applyFont="1" applyBorder="1" applyAlignment="1"/>
    <xf numFmtId="0" fontId="11" fillId="2" borderId="1" xfId="4" quotePrefix="1" applyFont="1" applyFill="1" applyBorder="1" applyAlignment="1">
      <alignment horizontal="center"/>
    </xf>
    <xf numFmtId="0" fontId="11" fillId="0" borderId="0" xfId="4" quotePrefix="1" applyFont="1" applyFill="1" applyBorder="1" applyAlignment="1">
      <alignment horizontal="center"/>
    </xf>
    <xf numFmtId="0" fontId="36" fillId="0" borderId="9" xfId="4" applyFont="1" applyBorder="1" applyAlignment="1">
      <alignment horizontal="left"/>
    </xf>
    <xf numFmtId="0" fontId="22" fillId="0" borderId="4" xfId="4" applyFont="1" applyFill="1" applyBorder="1" applyAlignment="1">
      <alignment horizontal="left"/>
    </xf>
    <xf numFmtId="0" fontId="11" fillId="0" borderId="5" xfId="4" quotePrefix="1" applyFont="1" applyFill="1" applyBorder="1" applyAlignment="1">
      <alignment horizontal="right"/>
    </xf>
    <xf numFmtId="0" fontId="11" fillId="0" borderId="0" xfId="4" quotePrefix="1" applyFont="1" applyFill="1" applyBorder="1" applyAlignment="1">
      <alignment horizontal="right"/>
    </xf>
    <xf numFmtId="0" fontId="11" fillId="0" borderId="4" xfId="4" quotePrefix="1" applyFont="1" applyFill="1" applyBorder="1" applyAlignment="1">
      <alignment horizontal="right"/>
    </xf>
    <xf numFmtId="0" fontId="11" fillId="0" borderId="22" xfId="4" quotePrefix="1" applyFont="1" applyFill="1" applyBorder="1" applyAlignment="1">
      <alignment horizontal="right"/>
    </xf>
    <xf numFmtId="0" fontId="11" fillId="0" borderId="2" xfId="4" quotePrefix="1" applyFont="1" applyFill="1" applyBorder="1" applyAlignment="1">
      <alignment horizontal="right"/>
    </xf>
    <xf numFmtId="0" fontId="11" fillId="0" borderId="3" xfId="4" quotePrefix="1" applyFont="1" applyFill="1" applyBorder="1" applyAlignment="1">
      <alignment horizontal="right"/>
    </xf>
    <xf numFmtId="0" fontId="11" fillId="0" borderId="12" xfId="4" quotePrefix="1" applyFont="1" applyFill="1" applyBorder="1" applyAlignment="1">
      <alignment horizontal="right"/>
    </xf>
    <xf numFmtId="0" fontId="11" fillId="0" borderId="6" xfId="4" quotePrefix="1" applyFont="1" applyFill="1" applyBorder="1" applyAlignment="1">
      <alignment horizontal="right"/>
    </xf>
    <xf numFmtId="164" fontId="1" fillId="0" borderId="5" xfId="1" applyNumberFormat="1" applyFont="1" applyBorder="1" applyAlignment="1">
      <alignment horizontal="left"/>
    </xf>
    <xf numFmtId="44" fontId="1" fillId="0" borderId="5" xfId="4" quotePrefix="1" applyNumberFormat="1" applyFont="1" applyFill="1" applyBorder="1" applyAlignment="1">
      <alignment horizontal="right"/>
    </xf>
    <xf numFmtId="44" fontId="1" fillId="0" borderId="0" xfId="4" quotePrefix="1" applyNumberFormat="1" applyFont="1" applyFill="1" applyBorder="1" applyAlignment="1">
      <alignment horizontal="right"/>
    </xf>
    <xf numFmtId="44" fontId="1" fillId="0" borderId="6" xfId="4" quotePrefix="1" applyNumberFormat="1" applyFont="1" applyFill="1" applyBorder="1" applyAlignment="1">
      <alignment horizontal="right"/>
    </xf>
    <xf numFmtId="0" fontId="16" fillId="0" borderId="6" xfId="4" applyFont="1" applyFill="1" applyBorder="1" applyAlignment="1">
      <alignment horizontal="left"/>
    </xf>
    <xf numFmtId="8" fontId="1" fillId="0" borderId="5" xfId="4" quotePrefix="1" applyNumberFormat="1" applyFont="1" applyFill="1" applyBorder="1" applyAlignment="1">
      <alignment horizontal="right"/>
    </xf>
    <xf numFmtId="8" fontId="1" fillId="0" borderId="22" xfId="4" quotePrefix="1" applyNumberFormat="1" applyFont="1" applyFill="1" applyBorder="1" applyAlignment="1">
      <alignment horizontal="right"/>
    </xf>
    <xf numFmtId="8" fontId="1" fillId="0" borderId="6" xfId="4" quotePrefix="1" applyNumberFormat="1" applyFont="1" applyFill="1" applyBorder="1" applyAlignment="1">
      <alignment horizontal="right"/>
    </xf>
    <xf numFmtId="164" fontId="1" fillId="0" borderId="5" xfId="1" quotePrefix="1" applyNumberFormat="1" applyFont="1" applyFill="1" applyBorder="1" applyAlignment="1">
      <alignment horizontal="right"/>
    </xf>
    <xf numFmtId="164" fontId="1" fillId="0" borderId="0" xfId="1" quotePrefix="1" applyNumberFormat="1" applyFont="1" applyFill="1" applyBorder="1" applyAlignment="1">
      <alignment horizontal="right"/>
    </xf>
    <xf numFmtId="164" fontId="1" fillId="0" borderId="9" xfId="1" quotePrefix="1" applyNumberFormat="1" applyFont="1" applyFill="1" applyBorder="1" applyAlignment="1">
      <alignment horizontal="right"/>
    </xf>
    <xf numFmtId="164" fontId="1" fillId="0" borderId="22" xfId="1" quotePrefix="1" applyNumberFormat="1" applyFont="1" applyFill="1" applyBorder="1" applyAlignment="1">
      <alignment horizontal="right"/>
    </xf>
    <xf numFmtId="164" fontId="11" fillId="0" borderId="0" xfId="4" quotePrefix="1" applyNumberFormat="1" applyFont="1" applyBorder="1" applyAlignment="1">
      <alignment horizontal="right"/>
    </xf>
    <xf numFmtId="164" fontId="1" fillId="0" borderId="6" xfId="1" quotePrefix="1" applyNumberFormat="1" applyFont="1" applyFill="1" applyBorder="1" applyAlignment="1">
      <alignment horizontal="right"/>
    </xf>
    <xf numFmtId="164" fontId="1" fillId="0" borderId="2" xfId="1" quotePrefix="1" applyNumberFormat="1" applyFont="1" applyFill="1" applyBorder="1" applyAlignment="1">
      <alignment horizontal="right"/>
    </xf>
    <xf numFmtId="164" fontId="1" fillId="0" borderId="12" xfId="1" quotePrefix="1" applyNumberFormat="1" applyFont="1" applyFill="1" applyBorder="1" applyAlignment="1">
      <alignment horizontal="right"/>
    </xf>
    <xf numFmtId="164" fontId="1" fillId="0" borderId="4" xfId="1" quotePrefix="1" applyNumberFormat="1" applyFont="1" applyFill="1" applyBorder="1" applyAlignment="1">
      <alignment horizontal="right"/>
    </xf>
    <xf numFmtId="164" fontId="0" fillId="0" borderId="6" xfId="1" applyNumberFormat="1" applyFont="1" applyBorder="1" applyAlignment="1">
      <alignment horizontal="left"/>
    </xf>
    <xf numFmtId="164" fontId="1" fillId="0" borderId="22" xfId="1" applyNumberFormat="1" applyFont="1" applyBorder="1" applyAlignment="1">
      <alignment horizontal="left"/>
    </xf>
    <xf numFmtId="164" fontId="1" fillId="0" borderId="22" xfId="1" applyNumberFormat="1" applyFont="1" applyBorder="1"/>
    <xf numFmtId="164" fontId="11" fillId="0" borderId="4" xfId="1" applyNumberFormat="1" applyFont="1" applyBorder="1" applyAlignment="1">
      <alignment horizontal="left" indent="1"/>
    </xf>
    <xf numFmtId="165" fontId="11" fillId="0" borderId="2" xfId="2" applyNumberFormat="1" applyFont="1" applyBorder="1" applyAlignment="1">
      <alignment horizontal="left"/>
    </xf>
    <xf numFmtId="165" fontId="11" fillId="0" borderId="12" xfId="2" applyNumberFormat="1" applyFont="1" applyBorder="1" applyAlignment="1">
      <alignment horizontal="left"/>
    </xf>
    <xf numFmtId="165" fontId="11" fillId="0" borderId="4" xfId="2" applyNumberFormat="1" applyFont="1" applyBorder="1"/>
    <xf numFmtId="165" fontId="11" fillId="0" borderId="12" xfId="2" applyNumberFormat="1" applyFont="1" applyBorder="1"/>
    <xf numFmtId="0" fontId="36" fillId="0" borderId="9" xfId="4" applyFont="1" applyBorder="1" applyAlignment="1">
      <alignment horizontal="left" vertical="center"/>
    </xf>
    <xf numFmtId="0" fontId="36" fillId="0" borderId="7" xfId="4" applyFont="1" applyBorder="1" applyAlignment="1">
      <alignment horizontal="left" vertical="center"/>
    </xf>
    <xf numFmtId="0" fontId="36" fillId="0" borderId="10" xfId="4" applyFont="1" applyBorder="1" applyAlignment="1">
      <alignment horizontal="left" vertical="center"/>
    </xf>
    <xf numFmtId="0" fontId="11" fillId="0" borderId="9" xfId="4" quotePrefix="1" applyFont="1" applyBorder="1" applyAlignment="1">
      <alignment horizontal="right" vertical="center"/>
    </xf>
    <xf numFmtId="0" fontId="11" fillId="0" borderId="10" xfId="4" quotePrefix="1" applyFont="1" applyBorder="1" applyAlignment="1">
      <alignment horizontal="right" vertical="center"/>
    </xf>
    <xf numFmtId="0" fontId="11" fillId="0" borderId="0" xfId="4" quotePrefix="1" applyFont="1" applyBorder="1" applyAlignment="1">
      <alignment horizontal="right" vertical="center"/>
    </xf>
    <xf numFmtId="164" fontId="23" fillId="0" borderId="0" xfId="1" applyNumberFormat="1" applyFont="1" applyBorder="1" applyAlignment="1">
      <alignment horizontal="left"/>
    </xf>
    <xf numFmtId="0" fontId="11" fillId="0" borderId="0" xfId="4" applyFont="1" applyBorder="1" applyAlignment="1">
      <alignment horizontal="right"/>
    </xf>
    <xf numFmtId="164" fontId="11" fillId="0" borderId="2" xfId="1" applyNumberFormat="1" applyFont="1" applyBorder="1" applyAlignment="1">
      <alignment horizontal="left"/>
    </xf>
    <xf numFmtId="164" fontId="1" fillId="0" borderId="3" xfId="1" applyNumberFormat="1" applyFont="1" applyBorder="1" applyAlignment="1">
      <alignment horizontal="left"/>
    </xf>
    <xf numFmtId="173" fontId="11" fillId="0" borderId="3" xfId="4" quotePrefix="1" applyNumberFormat="1" applyFont="1" applyBorder="1" applyAlignment="1">
      <alignment horizontal="center" wrapText="1"/>
    </xf>
    <xf numFmtId="173" fontId="11" fillId="0" borderId="12" xfId="4" quotePrefix="1" applyNumberFormat="1" applyFont="1" applyBorder="1" applyAlignment="1">
      <alignment horizontal="center" wrapText="1"/>
    </xf>
    <xf numFmtId="173" fontId="11" fillId="0" borderId="2" xfId="4" quotePrefix="1" applyNumberFormat="1" applyFont="1" applyBorder="1" applyAlignment="1">
      <alignment horizontal="center" wrapText="1"/>
    </xf>
    <xf numFmtId="164" fontId="1" fillId="0" borderId="0" xfId="1" applyNumberFormat="1" applyFont="1" applyBorder="1" applyAlignment="1">
      <alignment horizontal="left"/>
    </xf>
    <xf numFmtId="165" fontId="1" fillId="0" borderId="22" xfId="2" applyNumberFormat="1" applyFont="1" applyFill="1" applyBorder="1"/>
    <xf numFmtId="0" fontId="36" fillId="0" borderId="0" xfId="4" applyFont="1" applyBorder="1" applyAlignment="1">
      <alignment horizontal="left"/>
    </xf>
    <xf numFmtId="164" fontId="1" fillId="0" borderId="0" xfId="1" applyNumberFormat="1" applyFont="1" applyFill="1" applyBorder="1" applyAlignment="1"/>
    <xf numFmtId="164" fontId="1" fillId="0" borderId="22" xfId="1" applyNumberFormat="1" applyFont="1" applyFill="1" applyBorder="1" applyAlignment="1"/>
    <xf numFmtId="168" fontId="1" fillId="0" borderId="0" xfId="4" applyNumberFormat="1" applyFont="1"/>
    <xf numFmtId="0" fontId="1" fillId="0" borderId="5" xfId="4" applyFont="1" applyBorder="1"/>
    <xf numFmtId="0" fontId="1" fillId="0" borderId="5" xfId="4" applyFont="1" applyFill="1" applyBorder="1"/>
    <xf numFmtId="164" fontId="1" fillId="0" borderId="3" xfId="4" applyNumberFormat="1" applyFont="1" applyFill="1" applyBorder="1" applyAlignment="1"/>
    <xf numFmtId="164" fontId="1" fillId="0" borderId="12" xfId="4" applyNumberFormat="1" applyFont="1" applyFill="1" applyBorder="1" applyAlignment="1"/>
    <xf numFmtId="164" fontId="1" fillId="0" borderId="2" xfId="4" applyNumberFormat="1" applyFont="1" applyFill="1" applyBorder="1" applyAlignment="1"/>
    <xf numFmtId="0" fontId="11" fillId="0" borderId="5" xfId="4" applyFont="1" applyBorder="1" applyAlignment="1">
      <alignment horizontal="left" indent="1"/>
    </xf>
    <xf numFmtId="165" fontId="11" fillId="0" borderId="0" xfId="2" applyNumberFormat="1" applyFont="1" applyBorder="1" applyAlignment="1"/>
    <xf numFmtId="165" fontId="11" fillId="0" borderId="22" xfId="2" applyNumberFormat="1" applyFont="1" applyBorder="1" applyAlignment="1"/>
    <xf numFmtId="165" fontId="11" fillId="0" borderId="5" xfId="2" applyNumberFormat="1" applyFont="1" applyBorder="1" applyAlignment="1"/>
    <xf numFmtId="0" fontId="1" fillId="0" borderId="15" xfId="4" applyFont="1" applyBorder="1" applyAlignment="1"/>
    <xf numFmtId="164" fontId="1" fillId="0" borderId="15" xfId="1" applyNumberFormat="1" applyFont="1" applyBorder="1" applyAlignment="1"/>
    <xf numFmtId="164" fontId="1" fillId="0" borderId="25" xfId="1" applyNumberFormat="1" applyFont="1" applyBorder="1" applyAlignment="1"/>
    <xf numFmtId="0" fontId="1" fillId="0" borderId="26" xfId="4" applyFont="1" applyBorder="1" applyAlignment="1"/>
    <xf numFmtId="43" fontId="11" fillId="0" borderId="0" xfId="4" applyNumberFormat="1" applyFont="1" applyBorder="1" applyAlignment="1">
      <alignment horizontal="right"/>
    </xf>
    <xf numFmtId="43" fontId="11" fillId="0" borderId="0" xfId="4" applyNumberFormat="1" applyFont="1" applyBorder="1" applyAlignment="1">
      <alignment horizontal="center"/>
    </xf>
    <xf numFmtId="43" fontId="11" fillId="0" borderId="22" xfId="4" applyNumberFormat="1" applyFont="1" applyBorder="1" applyAlignment="1">
      <alignment horizontal="center"/>
    </xf>
    <xf numFmtId="43" fontId="11" fillId="0" borderId="5" xfId="4" applyNumberFormat="1" applyFont="1" applyBorder="1" applyAlignment="1">
      <alignment horizontal="right"/>
    </xf>
    <xf numFmtId="165" fontId="1" fillId="0" borderId="0" xfId="2" applyNumberFormat="1" applyFont="1" applyBorder="1"/>
    <xf numFmtId="165" fontId="1" fillId="0" borderId="22" xfId="2" applyNumberFormat="1" applyFont="1" applyBorder="1"/>
    <xf numFmtId="164" fontId="1" fillId="0" borderId="5" xfId="1" applyNumberFormat="1" applyFont="1" applyBorder="1"/>
    <xf numFmtId="164" fontId="1" fillId="0" borderId="0" xfId="4" applyNumberFormat="1" applyFont="1" applyFill="1" applyBorder="1" applyAlignment="1"/>
    <xf numFmtId="164" fontId="1" fillId="0" borderId="5" xfId="4" applyNumberFormat="1" applyFont="1" applyFill="1" applyBorder="1" applyAlignment="1"/>
    <xf numFmtId="164" fontId="11" fillId="0" borderId="0" xfId="4" applyNumberFormat="1" applyFont="1" applyBorder="1" applyAlignment="1"/>
    <xf numFmtId="164" fontId="11" fillId="0" borderId="5" xfId="4" applyNumberFormat="1" applyFont="1" applyBorder="1" applyAlignment="1"/>
    <xf numFmtId="165" fontId="11" fillId="0" borderId="16" xfId="2" applyNumberFormat="1" applyFont="1" applyBorder="1" applyAlignment="1"/>
    <xf numFmtId="165" fontId="11" fillId="0" borderId="24" xfId="2" applyNumberFormat="1" applyFont="1" applyBorder="1" applyAlignment="1"/>
    <xf numFmtId="0" fontId="1" fillId="0" borderId="7" xfId="4" applyFont="1" applyBorder="1"/>
    <xf numFmtId="0" fontId="1" fillId="0" borderId="8" xfId="4" applyFont="1" applyBorder="1"/>
    <xf numFmtId="0" fontId="1" fillId="0" borderId="8" xfId="4" applyFont="1" applyBorder="1" applyAlignment="1"/>
    <xf numFmtId="0" fontId="1" fillId="0" borderId="27" xfId="4" applyFont="1" applyBorder="1" applyAlignment="1"/>
    <xf numFmtId="0" fontId="1" fillId="0" borderId="28" xfId="4" applyFont="1" applyBorder="1" applyAlignment="1"/>
    <xf numFmtId="0" fontId="1" fillId="0" borderId="7" xfId="4" applyFont="1" applyFill="1" applyBorder="1"/>
    <xf numFmtId="0" fontId="1" fillId="0" borderId="8" xfId="4" applyFont="1" applyFill="1" applyBorder="1"/>
    <xf numFmtId="0" fontId="1" fillId="0" borderId="10" xfId="4" applyFont="1" applyFill="1" applyBorder="1"/>
    <xf numFmtId="0" fontId="1" fillId="0" borderId="0" xfId="4" applyFont="1" applyAlignment="1"/>
    <xf numFmtId="44" fontId="11" fillId="0" borderId="0" xfId="2" applyFont="1" applyBorder="1" applyAlignment="1">
      <alignment horizontal="left"/>
    </xf>
    <xf numFmtId="9" fontId="11" fillId="0" borderId="0" xfId="3" applyFont="1" applyBorder="1" applyAlignment="1">
      <alignment horizontal="left"/>
    </xf>
    <xf numFmtId="3" fontId="11" fillId="8" borderId="2" xfId="4" applyNumberFormat="1" applyFont="1" applyFill="1" applyBorder="1" applyAlignment="1">
      <alignment horizontal="center"/>
    </xf>
    <xf numFmtId="3" fontId="11" fillId="2" borderId="4" xfId="4" applyNumberFormat="1" applyFont="1" applyFill="1" applyBorder="1" applyAlignment="1">
      <alignment horizontal="center" wrapText="1"/>
    </xf>
    <xf numFmtId="0" fontId="36" fillId="0" borderId="11" xfId="4" applyFont="1" applyBorder="1" applyAlignment="1">
      <alignment horizontal="left"/>
    </xf>
    <xf numFmtId="0" fontId="11" fillId="8" borderId="11" xfId="4" quotePrefix="1" applyFont="1" applyFill="1" applyBorder="1" applyAlignment="1">
      <alignment horizontal="center"/>
    </xf>
    <xf numFmtId="164" fontId="1" fillId="0" borderId="5" xfId="1" quotePrefix="1" applyNumberFormat="1" applyFont="1" applyBorder="1" applyAlignment="1">
      <alignment horizontal="left"/>
    </xf>
    <xf numFmtId="164" fontId="1" fillId="0" borderId="22" xfId="1" quotePrefix="1" applyNumberFormat="1" applyFont="1" applyBorder="1" applyAlignment="1">
      <alignment horizontal="left"/>
    </xf>
    <xf numFmtId="164" fontId="16" fillId="0" borderId="5" xfId="1" quotePrefix="1" applyNumberFormat="1" applyFont="1" applyBorder="1" applyAlignment="1">
      <alignment horizontal="left"/>
    </xf>
    <xf numFmtId="164" fontId="16" fillId="0" borderId="6" xfId="1" quotePrefix="1" applyNumberFormat="1" applyFont="1" applyBorder="1" applyAlignment="1">
      <alignment horizontal="left"/>
    </xf>
    <xf numFmtId="164" fontId="1" fillId="0" borderId="5" xfId="1" quotePrefix="1" applyNumberFormat="1" applyFont="1" applyFill="1" applyBorder="1" applyAlignment="1">
      <alignment horizontal="left"/>
    </xf>
    <xf numFmtId="164" fontId="1" fillId="0" borderId="22" xfId="1" quotePrefix="1" applyNumberFormat="1" applyFont="1" applyFill="1" applyBorder="1" applyAlignment="1">
      <alignment horizontal="left"/>
    </xf>
    <xf numFmtId="164" fontId="1" fillId="0" borderId="2" xfId="1" applyNumberFormat="1" applyFont="1" applyBorder="1" applyAlignment="1">
      <alignment horizontal="left"/>
    </xf>
    <xf numFmtId="164" fontId="1" fillId="0" borderId="2" xfId="1" quotePrefix="1" applyNumberFormat="1" applyFont="1" applyFill="1" applyBorder="1" applyAlignment="1">
      <alignment horizontal="left"/>
    </xf>
    <xf numFmtId="164" fontId="1" fillId="0" borderId="12" xfId="1" quotePrefix="1" applyNumberFormat="1" applyFont="1" applyFill="1" applyBorder="1" applyAlignment="1">
      <alignment horizontal="left"/>
    </xf>
    <xf numFmtId="164" fontId="1" fillId="0" borderId="4" xfId="1" quotePrefix="1" applyNumberFormat="1" applyFont="1" applyFill="1" applyBorder="1" applyAlignment="1">
      <alignment horizontal="left"/>
    </xf>
    <xf numFmtId="164" fontId="1" fillId="0" borderId="7" xfId="1" applyNumberFormat="1" applyFont="1" applyBorder="1" applyAlignment="1">
      <alignment horizontal="left"/>
    </xf>
    <xf numFmtId="37" fontId="1" fillId="0" borderId="7" xfId="1" quotePrefix="1" applyNumberFormat="1" applyFont="1" applyBorder="1" applyAlignment="1">
      <alignment horizontal="right"/>
    </xf>
    <xf numFmtId="37" fontId="1" fillId="0" borderId="10" xfId="1" quotePrefix="1" applyNumberFormat="1" applyFont="1" applyBorder="1" applyAlignment="1">
      <alignment horizontal="right"/>
    </xf>
    <xf numFmtId="37" fontId="1" fillId="0" borderId="9" xfId="1" quotePrefix="1" applyNumberFormat="1" applyFont="1" applyBorder="1" applyAlignment="1">
      <alignment horizontal="right"/>
    </xf>
    <xf numFmtId="164" fontId="11" fillId="0" borderId="11" xfId="1" applyNumberFormat="1" applyFont="1" applyFill="1" applyBorder="1" applyAlignment="1">
      <alignment horizontal="left"/>
    </xf>
    <xf numFmtId="165" fontId="11" fillId="0" borderId="11" xfId="2" quotePrefix="1" applyNumberFormat="1" applyFont="1" applyFill="1" applyBorder="1" applyAlignment="1">
      <alignment horizontal="left"/>
    </xf>
    <xf numFmtId="165" fontId="11" fillId="0" borderId="14" xfId="2" quotePrefix="1" applyNumberFormat="1" applyFont="1" applyFill="1" applyBorder="1" applyAlignment="1">
      <alignment horizontal="left"/>
    </xf>
    <xf numFmtId="165" fontId="11" fillId="0" borderId="1" xfId="2" quotePrefix="1" applyNumberFormat="1" applyFont="1" applyFill="1" applyBorder="1" applyAlignment="1">
      <alignment horizontal="left"/>
    </xf>
    <xf numFmtId="165" fontId="11" fillId="10" borderId="11" xfId="2" quotePrefix="1" applyNumberFormat="1" applyFont="1" applyFill="1" applyBorder="1" applyAlignment="1">
      <alignment horizontal="left"/>
    </xf>
    <xf numFmtId="165" fontId="11" fillId="10" borderId="14" xfId="2" quotePrefix="1" applyNumberFormat="1" applyFont="1" applyFill="1" applyBorder="1" applyAlignment="1">
      <alignment horizontal="left"/>
    </xf>
    <xf numFmtId="165" fontId="11" fillId="10" borderId="1" xfId="2" quotePrefix="1" applyNumberFormat="1" applyFont="1" applyFill="1" applyBorder="1" applyAlignment="1">
      <alignment horizontal="left"/>
    </xf>
    <xf numFmtId="164" fontId="11" fillId="10" borderId="11" xfId="1" applyNumberFormat="1" applyFont="1" applyFill="1" applyBorder="1" applyAlignment="1">
      <alignment horizontal="left"/>
    </xf>
    <xf numFmtId="0" fontId="36" fillId="0" borderId="5" xfId="4" quotePrefix="1" applyFont="1" applyBorder="1" applyAlignment="1">
      <alignment horizontal="left"/>
    </xf>
    <xf numFmtId="0" fontId="11" fillId="0" borderId="5" xfId="4" applyFont="1" applyBorder="1" applyAlignment="1">
      <alignment horizontal="right"/>
    </xf>
    <xf numFmtId="0" fontId="11" fillId="0" borderId="22" xfId="4" applyFont="1" applyBorder="1" applyAlignment="1">
      <alignment horizontal="right"/>
    </xf>
    <xf numFmtId="0" fontId="11" fillId="0" borderId="6" xfId="4" applyFont="1" applyBorder="1" applyAlignment="1">
      <alignment horizontal="right"/>
    </xf>
    <xf numFmtId="164" fontId="1" fillId="0" borderId="6" xfId="1" quotePrefix="1" applyNumberFormat="1" applyFont="1" applyBorder="1" applyAlignment="1">
      <alignment horizontal="left"/>
    </xf>
    <xf numFmtId="164" fontId="11" fillId="0" borderId="2" xfId="1" applyNumberFormat="1" applyFont="1" applyFill="1" applyBorder="1" applyAlignment="1">
      <alignment horizontal="left"/>
    </xf>
    <xf numFmtId="165" fontId="11" fillId="0" borderId="2" xfId="2" quotePrefix="1" applyNumberFormat="1" applyFont="1" applyFill="1" applyBorder="1" applyAlignment="1">
      <alignment horizontal="left"/>
    </xf>
    <xf numFmtId="165" fontId="11" fillId="0" borderId="12" xfId="2" quotePrefix="1" applyNumberFormat="1" applyFont="1" applyFill="1" applyBorder="1" applyAlignment="1">
      <alignment horizontal="left"/>
    </xf>
    <xf numFmtId="165" fontId="11" fillId="0" borderId="4" xfId="2" quotePrefix="1" applyNumberFormat="1" applyFont="1" applyFill="1" applyBorder="1" applyAlignment="1">
      <alignment horizontal="left"/>
    </xf>
    <xf numFmtId="165" fontId="11" fillId="10" borderId="2" xfId="2" quotePrefix="1" applyNumberFormat="1" applyFont="1" applyFill="1" applyBorder="1" applyAlignment="1">
      <alignment horizontal="left"/>
    </xf>
    <xf numFmtId="165" fontId="11" fillId="10" borderId="12" xfId="2" quotePrefix="1" applyNumberFormat="1" applyFont="1" applyFill="1" applyBorder="1" applyAlignment="1">
      <alignment horizontal="left"/>
    </xf>
    <xf numFmtId="165" fontId="11" fillId="10" borderId="4" xfId="2" quotePrefix="1" applyNumberFormat="1" applyFont="1" applyFill="1" applyBorder="1" applyAlignment="1">
      <alignment horizontal="left"/>
    </xf>
    <xf numFmtId="164" fontId="11" fillId="10" borderId="2" xfId="1" applyNumberFormat="1" applyFont="1" applyFill="1" applyBorder="1" applyAlignment="1">
      <alignment horizontal="left"/>
    </xf>
    <xf numFmtId="164" fontId="11" fillId="0" borderId="2" xfId="1" quotePrefix="1" applyNumberFormat="1" applyFont="1" applyFill="1" applyBorder="1" applyAlignment="1">
      <alignment horizontal="left"/>
    </xf>
    <xf numFmtId="165" fontId="11" fillId="6" borderId="2" xfId="2" quotePrefix="1" applyNumberFormat="1" applyFont="1" applyFill="1" applyBorder="1" applyAlignment="1">
      <alignment horizontal="left"/>
    </xf>
    <xf numFmtId="165" fontId="11" fillId="6" borderId="12" xfId="2" quotePrefix="1" applyNumberFormat="1" applyFont="1" applyFill="1" applyBorder="1" applyAlignment="1">
      <alignment horizontal="left"/>
    </xf>
    <xf numFmtId="165" fontId="11" fillId="6" borderId="1" xfId="2" quotePrefix="1" applyNumberFormat="1" applyFont="1" applyFill="1" applyBorder="1" applyAlignment="1">
      <alignment horizontal="left"/>
    </xf>
    <xf numFmtId="164" fontId="11" fillId="6" borderId="2" xfId="1" quotePrefix="1" applyNumberFormat="1" applyFont="1" applyFill="1" applyBorder="1" applyAlignment="1">
      <alignment horizontal="left"/>
    </xf>
    <xf numFmtId="0" fontId="1" fillId="0" borderId="13" xfId="4" applyFont="1" applyBorder="1"/>
    <xf numFmtId="164" fontId="1" fillId="0" borderId="13" xfId="1" applyNumberFormat="1" applyFont="1" applyBorder="1"/>
    <xf numFmtId="0" fontId="19" fillId="0" borderId="11" xfId="4" applyFont="1" applyBorder="1"/>
    <xf numFmtId="168" fontId="17" fillId="0" borderId="22" xfId="3" applyNumberFormat="1" applyFont="1" applyBorder="1" applyAlignment="1">
      <alignment horizontal="center"/>
    </xf>
    <xf numFmtId="168" fontId="17" fillId="0" borderId="6" xfId="3" applyNumberFormat="1" applyFont="1" applyFill="1" applyBorder="1" applyAlignment="1">
      <alignment horizontal="center"/>
    </xf>
    <xf numFmtId="168" fontId="17" fillId="0" borderId="0" xfId="3" applyNumberFormat="1" applyFont="1" applyBorder="1" applyAlignment="1">
      <alignment horizontal="center"/>
    </xf>
    <xf numFmtId="168" fontId="17" fillId="0" borderId="4" xfId="3" applyNumberFormat="1" applyFont="1" applyBorder="1" applyAlignment="1">
      <alignment horizontal="center"/>
    </xf>
    <xf numFmtId="168" fontId="17" fillId="0" borderId="4" xfId="3" applyNumberFormat="1" applyFont="1" applyFill="1" applyBorder="1" applyAlignment="1">
      <alignment horizontal="center"/>
    </xf>
    <xf numFmtId="1" fontId="1" fillId="0" borderId="5" xfId="4" applyNumberFormat="1" applyFont="1" applyBorder="1"/>
    <xf numFmtId="1" fontId="1" fillId="0" borderId="6" xfId="4" applyNumberFormat="1" applyFont="1" applyBorder="1"/>
    <xf numFmtId="164" fontId="1" fillId="0" borderId="0" xfId="1" quotePrefix="1" applyNumberFormat="1" applyFont="1" applyBorder="1" applyAlignment="1">
      <alignment horizontal="left"/>
    </xf>
    <xf numFmtId="41" fontId="1" fillId="0" borderId="5" xfId="4" applyNumberFormat="1" applyFont="1" applyBorder="1"/>
    <xf numFmtId="41" fontId="1" fillId="0" borderId="6" xfId="4" applyNumberFormat="1" applyFont="1" applyBorder="1"/>
    <xf numFmtId="164" fontId="1" fillId="0" borderId="9" xfId="1" applyNumberFormat="1" applyFont="1" applyBorder="1"/>
    <xf numFmtId="164" fontId="1" fillId="0" borderId="12" xfId="1" applyNumberFormat="1" applyFont="1" applyBorder="1" applyAlignment="1">
      <alignment horizontal="left"/>
    </xf>
    <xf numFmtId="164" fontId="1" fillId="0" borderId="2" xfId="1" applyNumberFormat="1" applyFont="1" applyBorder="1"/>
    <xf numFmtId="164" fontId="1" fillId="0" borderId="5" xfId="1" applyNumberFormat="1" applyFont="1" applyFill="1" applyBorder="1" applyAlignment="1">
      <alignment horizontal="left"/>
    </xf>
    <xf numFmtId="164" fontId="1" fillId="0" borderId="22" xfId="1" applyNumberFormat="1" applyFont="1" applyFill="1" applyBorder="1" applyAlignment="1">
      <alignment horizontal="left"/>
    </xf>
    <xf numFmtId="164" fontId="1" fillId="0" borderId="4" xfId="1" applyNumberFormat="1" applyFont="1" applyBorder="1" applyAlignment="1">
      <alignment horizontal="left"/>
    </xf>
    <xf numFmtId="164" fontId="11" fillId="0" borderId="5" xfId="1" applyNumberFormat="1" applyFont="1" applyBorder="1" applyAlignment="1">
      <alignment horizontal="left"/>
    </xf>
    <xf numFmtId="164" fontId="11" fillId="0" borderId="6" xfId="1" applyNumberFormat="1" applyFont="1" applyBorder="1" applyAlignment="1">
      <alignment horizontal="left"/>
    </xf>
    <xf numFmtId="164" fontId="11" fillId="0" borderId="12" xfId="1" applyNumberFormat="1" applyFont="1" applyBorder="1" applyAlignment="1">
      <alignment horizontal="left"/>
    </xf>
    <xf numFmtId="164" fontId="11" fillId="0" borderId="4" xfId="1" applyNumberFormat="1" applyFont="1" applyBorder="1" applyAlignment="1">
      <alignment horizontal="left"/>
    </xf>
    <xf numFmtId="165" fontId="11" fillId="0" borderId="5" xfId="2" applyNumberFormat="1" applyFont="1" applyBorder="1" applyAlignment="1">
      <alignment horizontal="left"/>
    </xf>
    <xf numFmtId="165" fontId="11" fillId="0" borderId="22" xfId="2" applyNumberFormat="1" applyFont="1" applyBorder="1" applyAlignment="1">
      <alignment horizontal="left"/>
    </xf>
    <xf numFmtId="165" fontId="11" fillId="0" borderId="6" xfId="2" applyNumberFormat="1" applyFont="1" applyBorder="1" applyAlignment="1">
      <alignment horizontal="left"/>
    </xf>
    <xf numFmtId="164" fontId="1" fillId="0" borderId="10" xfId="1" applyNumberFormat="1" applyFont="1" applyBorder="1" applyAlignment="1">
      <alignment horizontal="left"/>
    </xf>
    <xf numFmtId="1" fontId="11" fillId="0" borderId="7" xfId="4" applyNumberFormat="1" applyFont="1" applyBorder="1"/>
    <xf numFmtId="1" fontId="11" fillId="0" borderId="9" xfId="4" applyNumberFormat="1" applyFont="1" applyBorder="1"/>
    <xf numFmtId="1" fontId="11" fillId="0" borderId="0" xfId="4" applyNumberFormat="1" applyFont="1" applyBorder="1"/>
    <xf numFmtId="3" fontId="19" fillId="0" borderId="0" xfId="4" quotePrefix="1" applyNumberFormat="1" applyFont="1" applyFill="1" applyBorder="1" applyAlignment="1">
      <alignment horizontal="left"/>
    </xf>
    <xf numFmtId="0" fontId="36" fillId="0" borderId="10" xfId="4" applyFont="1" applyBorder="1" applyAlignment="1">
      <alignment horizontal="left"/>
    </xf>
    <xf numFmtId="164" fontId="0" fillId="0" borderId="5" xfId="1" applyNumberFormat="1" applyFont="1" applyBorder="1" applyAlignment="1">
      <alignment horizontal="left"/>
    </xf>
    <xf numFmtId="165" fontId="1" fillId="0" borderId="4" xfId="2" quotePrefix="1" applyNumberFormat="1" applyFont="1" applyFill="1" applyBorder="1" applyAlignment="1">
      <alignment horizontal="left"/>
    </xf>
    <xf numFmtId="165" fontId="1" fillId="0" borderId="5" xfId="2" quotePrefix="1" applyNumberFormat="1" applyFont="1" applyFill="1" applyBorder="1" applyAlignment="1">
      <alignment horizontal="left"/>
    </xf>
    <xf numFmtId="165" fontId="1" fillId="0" borderId="6" xfId="2" quotePrefix="1" applyNumberFormat="1" applyFont="1" applyFill="1" applyBorder="1" applyAlignment="1">
      <alignment horizontal="left"/>
    </xf>
    <xf numFmtId="165" fontId="1" fillId="0" borderId="0" xfId="2" quotePrefix="1" applyNumberFormat="1" applyFont="1" applyFill="1" applyBorder="1" applyAlignment="1">
      <alignment horizontal="left"/>
    </xf>
    <xf numFmtId="168" fontId="1" fillId="0" borderId="5" xfId="1" quotePrefix="1" applyNumberFormat="1" applyFont="1" applyFill="1" applyBorder="1" applyAlignment="1">
      <alignment horizontal="right"/>
    </xf>
    <xf numFmtId="168" fontId="1" fillId="0" borderId="9" xfId="1" quotePrefix="1" applyNumberFormat="1" applyFont="1" applyFill="1" applyBorder="1" applyAlignment="1">
      <alignment horizontal="right"/>
    </xf>
    <xf numFmtId="168" fontId="1" fillId="0" borderId="0" xfId="1" quotePrefix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left"/>
    </xf>
    <xf numFmtId="165" fontId="1" fillId="0" borderId="1" xfId="2" quotePrefix="1" applyNumberFormat="1" applyFont="1" applyFill="1" applyBorder="1" applyAlignment="1">
      <alignment horizontal="left"/>
    </xf>
    <xf numFmtId="165" fontId="1" fillId="0" borderId="11" xfId="2" quotePrefix="1" applyNumberFormat="1" applyFont="1" applyFill="1" applyBorder="1" applyAlignment="1">
      <alignment horizontal="left"/>
    </xf>
    <xf numFmtId="43" fontId="0" fillId="0" borderId="0" xfId="1" applyFont="1"/>
    <xf numFmtId="9" fontId="0" fillId="0" borderId="0" xfId="3" applyFont="1"/>
    <xf numFmtId="43" fontId="1" fillId="0" borderId="0" xfId="1" applyFont="1"/>
    <xf numFmtId="3" fontId="19" fillId="0" borderId="0" xfId="0" quotePrefix="1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11" fillId="0" borderId="0" xfId="0" quotePrefix="1" applyNumberFormat="1" applyFont="1" applyBorder="1" applyAlignment="1">
      <alignment horizontal="left"/>
    </xf>
    <xf numFmtId="165" fontId="1" fillId="0" borderId="0" xfId="0" applyNumberFormat="1" applyFont="1"/>
    <xf numFmtId="3" fontId="11" fillId="0" borderId="1" xfId="9" applyNumberFormat="1" applyFont="1" applyFill="1" applyBorder="1"/>
    <xf numFmtId="0" fontId="11" fillId="2" borderId="1" xfId="10" applyFont="1" applyFill="1" applyBorder="1" applyAlignment="1">
      <alignment horizontal="center" wrapText="1"/>
    </xf>
    <xf numFmtId="3" fontId="37" fillId="2" borderId="1" xfId="9" applyNumberFormat="1" applyFont="1" applyFill="1" applyBorder="1"/>
    <xf numFmtId="0" fontId="11" fillId="0" borderId="1" xfId="10" applyFont="1" applyBorder="1" applyAlignment="1">
      <alignment horizontal="left"/>
    </xf>
    <xf numFmtId="0" fontId="11" fillId="7" borderId="9" xfId="10" applyFont="1" applyFill="1" applyBorder="1" applyAlignment="1">
      <alignment horizontal="center"/>
    </xf>
    <xf numFmtId="167" fontId="11" fillId="2" borderId="9" xfId="11" applyNumberFormat="1" applyFont="1" applyFill="1" applyBorder="1" applyAlignment="1">
      <alignment horizontal="center"/>
    </xf>
    <xf numFmtId="0" fontId="1" fillId="0" borderId="5" xfId="10" applyFont="1" applyBorder="1"/>
    <xf numFmtId="0" fontId="1" fillId="0" borderId="4" xfId="10" applyFont="1" applyBorder="1"/>
    <xf numFmtId="0" fontId="11" fillId="0" borderId="7" xfId="10" quotePrefix="1" applyFont="1" applyBorder="1" applyAlignment="1">
      <alignment horizontal="left"/>
    </xf>
    <xf numFmtId="0" fontId="11" fillId="0" borderId="9" xfId="10" quotePrefix="1" applyFont="1" applyBorder="1" applyAlignment="1">
      <alignment horizontal="left"/>
    </xf>
    <xf numFmtId="165" fontId="11" fillId="0" borderId="9" xfId="12" applyNumberFormat="1" applyFont="1" applyBorder="1"/>
    <xf numFmtId="0" fontId="1" fillId="0" borderId="5" xfId="10" applyFont="1" applyBorder="1" applyAlignment="1">
      <alignment horizontal="left"/>
    </xf>
    <xf numFmtId="0" fontId="1" fillId="0" borderId="6" xfId="10" applyFont="1" applyBorder="1" applyAlignment="1">
      <alignment horizontal="left"/>
    </xf>
    <xf numFmtId="164" fontId="1" fillId="0" borderId="4" xfId="11" applyNumberFormat="1" applyFont="1" applyBorder="1"/>
    <xf numFmtId="164" fontId="1" fillId="0" borderId="6" xfId="11" applyNumberFormat="1" applyFont="1" applyBorder="1"/>
    <xf numFmtId="0" fontId="0" fillId="0" borderId="5" xfId="9" quotePrefix="1" applyFont="1" applyBorder="1" applyAlignment="1">
      <alignment horizontal="left"/>
    </xf>
    <xf numFmtId="42" fontId="1" fillId="0" borderId="6" xfId="1" quotePrefix="1" applyNumberFormat="1" applyFont="1" applyBorder="1" applyAlignment="1">
      <alignment horizontal="left"/>
    </xf>
    <xf numFmtId="42" fontId="1" fillId="0" borderId="6" xfId="9" applyNumberFormat="1" applyFont="1" applyBorder="1"/>
    <xf numFmtId="0" fontId="0" fillId="0" borderId="5" xfId="9" applyFont="1" applyBorder="1" applyAlignment="1">
      <alignment horizontal="left"/>
    </xf>
    <xf numFmtId="164" fontId="1" fillId="0" borderId="6" xfId="11" applyNumberFormat="1" applyFont="1" applyFill="1" applyBorder="1"/>
    <xf numFmtId="0" fontId="0" fillId="0" borderId="5" xfId="10" applyFont="1" applyBorder="1" applyAlignment="1">
      <alignment horizontal="left"/>
    </xf>
    <xf numFmtId="0" fontId="1" fillId="0" borderId="2" xfId="10" applyFont="1" applyBorder="1" applyAlignment="1">
      <alignment horizontal="left"/>
    </xf>
    <xf numFmtId="0" fontId="1" fillId="0" borderId="4" xfId="10" applyFont="1" applyBorder="1" applyAlignment="1">
      <alignment horizontal="left"/>
    </xf>
    <xf numFmtId="0" fontId="11" fillId="0" borderId="5" xfId="10" applyFont="1" applyBorder="1" applyAlignment="1">
      <alignment horizontal="left"/>
    </xf>
    <xf numFmtId="164" fontId="11" fillId="0" borderId="6" xfId="11" applyNumberFormat="1" applyFont="1" applyBorder="1"/>
    <xf numFmtId="164" fontId="22" fillId="0" borderId="6" xfId="11" applyNumberFormat="1" applyFont="1" applyFill="1" applyBorder="1"/>
    <xf numFmtId="0" fontId="1" fillId="0" borderId="2" xfId="10" quotePrefix="1" applyFont="1" applyBorder="1" applyAlignment="1">
      <alignment horizontal="left"/>
    </xf>
    <xf numFmtId="0" fontId="1" fillId="0" borderId="4" xfId="10" quotePrefix="1" applyFont="1" applyBorder="1" applyAlignment="1">
      <alignment horizontal="left"/>
    </xf>
    <xf numFmtId="0" fontId="11" fillId="0" borderId="7" xfId="9" quotePrefix="1" applyFont="1" applyBorder="1" applyAlignment="1">
      <alignment horizontal="left"/>
    </xf>
    <xf numFmtId="0" fontId="1" fillId="0" borderId="0" xfId="10" applyFont="1"/>
    <xf numFmtId="165" fontId="11" fillId="0" borderId="9" xfId="12" applyNumberFormat="1" applyFont="1" applyFill="1" applyBorder="1"/>
    <xf numFmtId="42" fontId="1" fillId="0" borderId="6" xfId="9" applyNumberFormat="1" applyFont="1" applyFill="1" applyBorder="1"/>
    <xf numFmtId="0" fontId="1" fillId="0" borderId="5" xfId="10" quotePrefix="1" applyFont="1" applyBorder="1" applyAlignment="1">
      <alignment horizontal="left"/>
    </xf>
    <xf numFmtId="0" fontId="1" fillId="0" borderId="6" xfId="10" quotePrefix="1" applyFont="1" applyBorder="1" applyAlignment="1">
      <alignment horizontal="left"/>
    </xf>
    <xf numFmtId="164" fontId="22" fillId="0" borderId="6" xfId="11" applyNumberFormat="1" applyFont="1" applyBorder="1"/>
    <xf numFmtId="42" fontId="1" fillId="0" borderId="0" xfId="0" applyNumberFormat="1" applyFont="1"/>
    <xf numFmtId="0" fontId="0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1" fillId="0" borderId="0" xfId="0" applyFont="1"/>
    <xf numFmtId="0" fontId="24" fillId="0" borderId="0" xfId="13" applyFont="1" applyAlignment="1">
      <alignment horizontal="center"/>
    </xf>
    <xf numFmtId="37" fontId="25" fillId="3" borderId="7" xfId="5" applyNumberFormat="1" applyFont="1" applyFill="1" applyBorder="1" applyAlignment="1">
      <alignment vertical="center"/>
    </xf>
    <xf numFmtId="37" fontId="25" fillId="3" borderId="8" xfId="5" applyNumberFormat="1" applyFont="1" applyFill="1" applyBorder="1" applyAlignment="1">
      <alignment vertical="center"/>
    </xf>
    <xf numFmtId="37" fontId="25" fillId="3" borderId="10" xfId="5" applyNumberFormat="1" applyFont="1" applyFill="1" applyBorder="1" applyAlignment="1">
      <alignment vertical="center"/>
    </xf>
    <xf numFmtId="0" fontId="14" fillId="4" borderId="7" xfId="4" quotePrefix="1" applyFont="1" applyFill="1" applyBorder="1" applyAlignment="1">
      <alignment vertical="center"/>
    </xf>
    <xf numFmtId="0" fontId="14" fillId="4" borderId="8" xfId="4" quotePrefix="1" applyFont="1" applyFill="1" applyBorder="1" applyAlignment="1">
      <alignment vertical="center"/>
    </xf>
    <xf numFmtId="0" fontId="14" fillId="4" borderId="10" xfId="4" quotePrefix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5" xfId="1" applyNumberFormat="1" applyFont="1" applyFill="1" applyBorder="1" applyAlignment="1">
      <alignment horizontal="right"/>
    </xf>
    <xf numFmtId="3" fontId="26" fillId="0" borderId="2" xfId="0" applyNumberFormat="1" applyFont="1" applyBorder="1"/>
    <xf numFmtId="164" fontId="1" fillId="0" borderId="3" xfId="1" applyNumberFormat="1" applyFont="1" applyFill="1" applyBorder="1" applyAlignment="1">
      <alignment horizontal="right"/>
    </xf>
    <xf numFmtId="0" fontId="1" fillId="0" borderId="12" xfId="0" applyFont="1" applyBorder="1"/>
    <xf numFmtId="164" fontId="11" fillId="0" borderId="0" xfId="1" applyNumberFormat="1" applyFont="1" applyFill="1" applyBorder="1" applyAlignment="1">
      <alignment horizontal="left"/>
    </xf>
    <xf numFmtId="164" fontId="11" fillId="0" borderId="5" xfId="1" applyNumberFormat="1" applyFont="1" applyFill="1" applyBorder="1" applyAlignment="1">
      <alignment horizontal="center"/>
    </xf>
    <xf numFmtId="164" fontId="38" fillId="0" borderId="0" xfId="14" quotePrefix="1" applyNumberFormat="1" applyFont="1" applyFill="1" applyBorder="1" applyAlignment="1">
      <alignment horizontal="right"/>
    </xf>
    <xf numFmtId="164" fontId="38" fillId="0" borderId="0" xfId="14" applyNumberFormat="1" applyFont="1" applyFill="1" applyBorder="1" applyAlignment="1">
      <alignment horizontal="right"/>
    </xf>
    <xf numFmtId="164" fontId="38" fillId="0" borderId="22" xfId="14" quotePrefix="1" applyNumberFormat="1" applyFont="1" applyFill="1" applyBorder="1" applyAlignment="1">
      <alignment horizontal="right"/>
    </xf>
    <xf numFmtId="164" fontId="11" fillId="0" borderId="5" xfId="1" applyNumberFormat="1" applyFont="1" applyFill="1" applyBorder="1" applyAlignment="1">
      <alignment horizontal="left"/>
    </xf>
    <xf numFmtId="0" fontId="1" fillId="0" borderId="22" xfId="0" applyFont="1" applyBorder="1"/>
    <xf numFmtId="164" fontId="1" fillId="0" borderId="0" xfId="1" quotePrefix="1" applyNumberFormat="1" applyFont="1" applyFill="1" applyBorder="1" applyAlignment="1">
      <alignment horizontal="left"/>
    </xf>
    <xf numFmtId="10" fontId="11" fillId="0" borderId="0" xfId="15" applyNumberFormat="1" applyFont="1" applyFill="1" applyBorder="1" applyAlignment="1"/>
    <xf numFmtId="10" fontId="11" fillId="0" borderId="22" xfId="15" applyNumberFormat="1" applyFont="1" applyFill="1" applyBorder="1" applyAlignment="1"/>
    <xf numFmtId="164" fontId="11" fillId="0" borderId="0" xfId="1" quotePrefix="1" applyNumberFormat="1" applyFont="1" applyFill="1" applyBorder="1" applyAlignment="1">
      <alignment horizontal="left"/>
    </xf>
    <xf numFmtId="164" fontId="11" fillId="0" borderId="5" xfId="1" quotePrefix="1" applyNumberFormat="1" applyFont="1" applyFill="1" applyBorder="1" applyAlignment="1">
      <alignment horizontal="left"/>
    </xf>
    <xf numFmtId="10" fontId="11" fillId="0" borderId="3" xfId="1" applyNumberFormat="1" applyFont="1" applyFill="1" applyBorder="1"/>
    <xf numFmtId="10" fontId="11" fillId="0" borderId="12" xfId="1" applyNumberFormat="1" applyFont="1" applyFill="1" applyBorder="1"/>
    <xf numFmtId="164" fontId="11" fillId="0" borderId="8" xfId="1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164" fontId="20" fillId="0" borderId="11" xfId="1" applyNumberFormat="1" applyFont="1" applyFill="1" applyBorder="1" applyAlignment="1">
      <alignment horizontal="left"/>
    </xf>
    <xf numFmtId="164" fontId="20" fillId="0" borderId="13" xfId="1" applyNumberFormat="1" applyFont="1" applyFill="1" applyBorder="1" applyAlignment="1">
      <alignment horizontal="center"/>
    </xf>
    <xf numFmtId="9" fontId="17" fillId="0" borderId="13" xfId="0" applyNumberFormat="1" applyFont="1" applyBorder="1"/>
    <xf numFmtId="9" fontId="17" fillId="0" borderId="14" xfId="0" applyNumberFormat="1" applyFont="1" applyBorder="1"/>
    <xf numFmtId="164" fontId="11" fillId="0" borderId="7" xfId="1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164" fontId="11" fillId="0" borderId="9" xfId="1" quotePrefix="1" applyNumberFormat="1" applyFont="1" applyFill="1" applyBorder="1" applyAlignment="1">
      <alignment horizontal="left"/>
    </xf>
    <xf numFmtId="164" fontId="11" fillId="0" borderId="4" xfId="1" quotePrefix="1" applyNumberFormat="1" applyFont="1" applyFill="1" applyBorder="1" applyAlignment="1">
      <alignment horizontal="center"/>
    </xf>
    <xf numFmtId="164" fontId="11" fillId="8" borderId="1" xfId="14" applyNumberFormat="1" applyFont="1" applyFill="1" applyBorder="1" applyAlignment="1">
      <alignment horizontal="center"/>
    </xf>
    <xf numFmtId="0" fontId="11" fillId="8" borderId="1" xfId="13" applyFont="1" applyFill="1" applyBorder="1" applyAlignment="1">
      <alignment horizontal="center"/>
    </xf>
    <xf numFmtId="164" fontId="11" fillId="5" borderId="1" xfId="1" applyNumberFormat="1" applyFont="1" applyFill="1" applyBorder="1" applyAlignment="1">
      <alignment horizontal="center"/>
    </xf>
    <xf numFmtId="164" fontId="11" fillId="5" borderId="1" xfId="14" applyNumberFormat="1" applyFont="1" applyFill="1" applyBorder="1" applyAlignment="1">
      <alignment horizontal="center"/>
    </xf>
    <xf numFmtId="0" fontId="11" fillId="5" borderId="1" xfId="13" applyFont="1" applyFill="1" applyBorder="1" applyAlignment="1">
      <alignment horizontal="center"/>
    </xf>
    <xf numFmtId="164" fontId="11" fillId="2" borderId="11" xfId="14" applyNumberFormat="1" applyFont="1" applyFill="1" applyBorder="1" applyAlignment="1">
      <alignment horizontal="center"/>
    </xf>
    <xf numFmtId="0" fontId="11" fillId="2" borderId="1" xfId="13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right"/>
    </xf>
    <xf numFmtId="164" fontId="16" fillId="0" borderId="6" xfId="1" applyNumberFormat="1" applyFont="1" applyFill="1" applyBorder="1" applyAlignment="1">
      <alignment horizontal="right"/>
    </xf>
    <xf numFmtId="44" fontId="16" fillId="0" borderId="6" xfId="2" applyFont="1" applyFill="1" applyBorder="1"/>
    <xf numFmtId="164" fontId="1" fillId="0" borderId="6" xfId="1" applyNumberFormat="1" applyFont="1" applyFill="1" applyBorder="1" applyAlignment="1">
      <alignment horizontal="right"/>
    </xf>
    <xf numFmtId="165" fontId="1" fillId="0" borderId="5" xfId="2" applyNumberFormat="1" applyFont="1" applyFill="1" applyBorder="1" applyAlignment="1">
      <alignment horizontal="center"/>
    </xf>
    <xf numFmtId="5" fontId="1" fillId="0" borderId="5" xfId="1" applyNumberFormat="1" applyFont="1" applyFill="1" applyBorder="1" applyAlignment="1">
      <alignment horizontal="center"/>
    </xf>
    <xf numFmtId="42" fontId="1" fillId="0" borderId="5" xfId="1" applyNumberFormat="1" applyFont="1" applyFill="1" applyBorder="1" applyAlignment="1">
      <alignment horizontal="center"/>
    </xf>
    <xf numFmtId="42" fontId="1" fillId="0" borderId="6" xfId="1" applyNumberFormat="1" applyFont="1" applyFill="1" applyBorder="1" applyAlignment="1">
      <alignment horizontal="right"/>
    </xf>
    <xf numFmtId="164" fontId="0" fillId="0" borderId="6" xfId="1" applyNumberFormat="1" applyFont="1" applyFill="1" applyBorder="1"/>
    <xf numFmtId="164" fontId="16" fillId="0" borderId="6" xfId="1" quotePrefix="1" applyNumberFormat="1" applyFont="1" applyFill="1" applyBorder="1" applyAlignment="1">
      <alignment horizontal="right"/>
    </xf>
    <xf numFmtId="174" fontId="1" fillId="0" borderId="5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164" fontId="16" fillId="0" borderId="4" xfId="1" applyNumberFormat="1" applyFont="1" applyFill="1" applyBorder="1" applyAlignment="1">
      <alignment horizontal="right"/>
    </xf>
    <xf numFmtId="164" fontId="16" fillId="0" borderId="4" xfId="1" quotePrefix="1" applyNumberFormat="1" applyFont="1" applyFill="1" applyBorder="1" applyAlignment="1">
      <alignment horizontal="right"/>
    </xf>
    <xf numFmtId="174" fontId="1" fillId="0" borderId="3" xfId="1" applyNumberFormat="1" applyFont="1" applyFill="1" applyBorder="1" applyAlignment="1">
      <alignment horizontal="center"/>
    </xf>
    <xf numFmtId="174" fontId="1" fillId="0" borderId="2" xfId="1" applyNumberFormat="1" applyFont="1" applyFill="1" applyBorder="1" applyAlignment="1">
      <alignment horizontal="center"/>
    </xf>
    <xf numFmtId="164" fontId="11" fillId="0" borderId="7" xfId="1" quotePrefix="1" applyNumberFormat="1" applyFont="1" applyFill="1" applyBorder="1" applyAlignment="1">
      <alignment horizontal="left"/>
    </xf>
    <xf numFmtId="164" fontId="11" fillId="0" borderId="6" xfId="1" applyNumberFormat="1" applyFont="1" applyFill="1" applyBorder="1" applyAlignment="1">
      <alignment horizontal="right"/>
    </xf>
    <xf numFmtId="165" fontId="22" fillId="0" borderId="6" xfId="2" applyNumberFormat="1" applyFont="1" applyFill="1" applyBorder="1"/>
    <xf numFmtId="165" fontId="11" fillId="0" borderId="5" xfId="2" applyNumberFormat="1" applyFont="1" applyFill="1" applyBorder="1" applyAlignment="1">
      <alignment horizontal="center"/>
    </xf>
    <xf numFmtId="5" fontId="11" fillId="0" borderId="5" xfId="1" applyNumberFormat="1" applyFont="1" applyFill="1" applyBorder="1" applyAlignment="1">
      <alignment horizontal="center"/>
    </xf>
    <xf numFmtId="164" fontId="11" fillId="0" borderId="9" xfId="1" applyNumberFormat="1" applyFont="1" applyFill="1" applyBorder="1" applyAlignment="1">
      <alignment horizontal="right"/>
    </xf>
    <xf numFmtId="5" fontId="11" fillId="0" borderId="9" xfId="1" applyNumberFormat="1" applyFont="1" applyFill="1" applyBorder="1" applyAlignment="1">
      <alignment horizontal="right"/>
    </xf>
    <xf numFmtId="165" fontId="11" fillId="0" borderId="9" xfId="2" applyNumberFormat="1" applyFont="1" applyFill="1" applyBorder="1" applyAlignment="1">
      <alignment horizontal="right"/>
    </xf>
    <xf numFmtId="5" fontId="11" fillId="0" borderId="8" xfId="1" applyNumberFormat="1" applyFont="1" applyFill="1" applyBorder="1" applyAlignment="1">
      <alignment horizontal="right"/>
    </xf>
    <xf numFmtId="5" fontId="11" fillId="0" borderId="7" xfId="1" applyNumberFormat="1" applyFont="1" applyFill="1" applyBorder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37" fontId="1" fillId="0" borderId="2" xfId="1" applyNumberFormat="1" applyFont="1" applyFill="1" applyBorder="1" applyAlignment="1">
      <alignment horizontal="right"/>
    </xf>
    <xf numFmtId="37" fontId="1" fillId="0" borderId="3" xfId="1" applyNumberFormat="1" applyFont="1" applyFill="1" applyBorder="1" applyAlignment="1">
      <alignment horizontal="right"/>
    </xf>
    <xf numFmtId="0" fontId="1" fillId="0" borderId="3" xfId="0" applyFont="1" applyBorder="1"/>
    <xf numFmtId="10" fontId="11" fillId="0" borderId="4" xfId="3" applyNumberFormat="1" applyFont="1" applyFill="1" applyBorder="1"/>
    <xf numFmtId="165" fontId="11" fillId="0" borderId="0" xfId="2" applyNumberFormat="1" applyFont="1" applyFill="1" applyBorder="1" applyAlignment="1">
      <alignment horizontal="right"/>
    </xf>
    <xf numFmtId="37" fontId="1" fillId="0" borderId="12" xfId="1" applyNumberFormat="1" applyFont="1" applyFill="1" applyBorder="1" applyAlignment="1">
      <alignment horizontal="right"/>
    </xf>
    <xf numFmtId="164" fontId="1" fillId="0" borderId="12" xfId="1" applyNumberFormat="1" applyFont="1" applyFill="1" applyBorder="1" applyAlignment="1">
      <alignment horizontal="right"/>
    </xf>
    <xf numFmtId="164" fontId="11" fillId="0" borderId="7" xfId="1" applyNumberFormat="1" applyFont="1" applyFill="1" applyBorder="1" applyAlignment="1">
      <alignment horizontal="left"/>
    </xf>
    <xf numFmtId="175" fontId="11" fillId="0" borderId="7" xfId="1" applyNumberFormat="1" applyFont="1" applyFill="1" applyBorder="1" applyAlignment="1">
      <alignment horizontal="right"/>
    </xf>
    <xf numFmtId="175" fontId="11" fillId="0" borderId="8" xfId="1" applyNumberFormat="1" applyFont="1" applyFill="1" applyBorder="1"/>
    <xf numFmtId="164" fontId="11" fillId="0" borderId="8" xfId="1" applyNumberFormat="1" applyFont="1" applyFill="1" applyBorder="1"/>
    <xf numFmtId="165" fontId="11" fillId="0" borderId="8" xfId="2" applyNumberFormat="1" applyFont="1" applyFill="1" applyBorder="1"/>
    <xf numFmtId="10" fontId="11" fillId="0" borderId="0" xfId="3" applyNumberFormat="1" applyFont="1" applyFill="1" applyBorder="1"/>
    <xf numFmtId="175" fontId="11" fillId="0" borderId="10" xfId="1" applyNumberFormat="1" applyFont="1" applyFill="1" applyBorder="1"/>
    <xf numFmtId="164" fontId="11" fillId="0" borderId="7" xfId="1" applyNumberFormat="1" applyFont="1" applyFill="1" applyBorder="1"/>
    <xf numFmtId="175" fontId="11" fillId="0" borderId="5" xfId="1" applyNumberFormat="1" applyFont="1" applyFill="1" applyBorder="1" applyAlignment="1">
      <alignment horizontal="right"/>
    </xf>
    <xf numFmtId="175" fontId="11" fillId="0" borderId="0" xfId="1" applyNumberFormat="1" applyFont="1" applyFill="1" applyBorder="1"/>
    <xf numFmtId="165" fontId="11" fillId="0" borderId="22" xfId="2" applyNumberFormat="1" applyFont="1" applyFill="1" applyBorder="1"/>
    <xf numFmtId="175" fontId="11" fillId="0" borderId="2" xfId="1" applyNumberFormat="1" applyFont="1" applyFill="1" applyBorder="1" applyAlignment="1">
      <alignment horizontal="right"/>
    </xf>
    <xf numFmtId="175" fontId="11" fillId="0" borderId="3" xfId="1" applyNumberFormat="1" applyFont="1" applyFill="1" applyBorder="1"/>
    <xf numFmtId="164" fontId="11" fillId="0" borderId="3" xfId="1" applyNumberFormat="1" applyFont="1" applyFill="1" applyBorder="1"/>
    <xf numFmtId="165" fontId="11" fillId="0" borderId="3" xfId="2" applyNumberFormat="1" applyFont="1" applyFill="1" applyBorder="1"/>
    <xf numFmtId="165" fontId="11" fillId="0" borderId="12" xfId="2" applyNumberFormat="1" applyFont="1" applyFill="1" applyBorder="1"/>
    <xf numFmtId="165" fontId="1" fillId="0" borderId="12" xfId="2" applyNumberFormat="1" applyFont="1" applyFill="1" applyBorder="1"/>
    <xf numFmtId="41" fontId="1" fillId="0" borderId="22" xfId="2" applyNumberFormat="1" applyFont="1" applyFill="1" applyBorder="1"/>
    <xf numFmtId="41" fontId="1" fillId="0" borderId="0" xfId="2" applyNumberFormat="1" applyFont="1" applyFill="1" applyBorder="1"/>
    <xf numFmtId="164" fontId="1" fillId="0" borderId="7" xfId="1" applyNumberFormat="1" applyFont="1" applyFill="1" applyBorder="1" applyAlignment="1">
      <alignment horizontal="right"/>
    </xf>
    <xf numFmtId="164" fontId="1" fillId="0" borderId="8" xfId="1" applyNumberFormat="1" applyFont="1" applyFill="1" applyBorder="1" applyAlignment="1">
      <alignment horizontal="center"/>
    </xf>
    <xf numFmtId="164" fontId="1" fillId="0" borderId="10" xfId="1" applyNumberFormat="1" applyFont="1" applyFill="1" applyBorder="1" applyAlignment="1">
      <alignment horizontal="center"/>
    </xf>
    <xf numFmtId="165" fontId="11" fillId="0" borderId="10" xfId="2" applyNumberFormat="1" applyFont="1" applyFill="1" applyBorder="1" applyAlignment="1">
      <alignment horizontal="right"/>
    </xf>
    <xf numFmtId="164" fontId="1" fillId="0" borderId="3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165" fontId="11" fillId="0" borderId="12" xfId="2" applyNumberFormat="1" applyFont="1" applyFill="1" applyBorder="1" applyAlignment="1">
      <alignment horizontal="right"/>
    </xf>
    <xf numFmtId="164" fontId="1" fillId="0" borderId="22" xfId="1" applyNumberFormat="1" applyFont="1" applyFill="1" applyBorder="1" applyAlignment="1">
      <alignment horizontal="center"/>
    </xf>
    <xf numFmtId="165" fontId="11" fillId="0" borderId="22" xfId="2" applyNumberFormat="1" applyFont="1" applyFill="1" applyBorder="1" applyAlignment="1">
      <alignment horizontal="right"/>
    </xf>
    <xf numFmtId="164" fontId="11" fillId="0" borderId="11" xfId="14" applyNumberFormat="1" applyFont="1" applyFill="1" applyBorder="1" applyAlignment="1">
      <alignment horizontal="left"/>
    </xf>
    <xf numFmtId="164" fontId="11" fillId="0" borderId="11" xfId="14" quotePrefix="1" applyNumberFormat="1" applyFont="1" applyFill="1" applyBorder="1" applyAlignment="1">
      <alignment horizontal="left"/>
    </xf>
    <xf numFmtId="164" fontId="11" fillId="0" borderId="13" xfId="14" quotePrefix="1" applyNumberFormat="1" applyFont="1" applyFill="1" applyBorder="1" applyAlignment="1">
      <alignment horizontal="left"/>
    </xf>
    <xf numFmtId="164" fontId="11" fillId="0" borderId="13" xfId="1" applyNumberFormat="1" applyFont="1" applyFill="1" applyBorder="1" applyAlignment="1">
      <alignment horizontal="right"/>
    </xf>
    <xf numFmtId="164" fontId="11" fillId="0" borderId="13" xfId="14" applyNumberFormat="1" applyFont="1" applyFill="1" applyBorder="1"/>
    <xf numFmtId="42" fontId="11" fillId="0" borderId="13" xfId="16" applyFont="1" applyFill="1" applyBorder="1"/>
    <xf numFmtId="164" fontId="11" fillId="0" borderId="13" xfId="14" applyNumberFormat="1" applyFont="1" applyFill="1" applyBorder="1" applyAlignment="1">
      <alignment horizontal="center"/>
    </xf>
    <xf numFmtId="164" fontId="11" fillId="0" borderId="14" xfId="14" applyNumberFormat="1" applyFont="1" applyFill="1" applyBorder="1" applyAlignment="1">
      <alignment horizontal="center"/>
    </xf>
    <xf numFmtId="42" fontId="11" fillId="0" borderId="14" xfId="16" applyFont="1" applyFill="1" applyBorder="1"/>
    <xf numFmtId="164" fontId="11" fillId="0" borderId="7" xfId="1" applyNumberFormat="1" applyFont="1" applyFill="1" applyBorder="1" applyAlignment="1">
      <alignment horizontal="right"/>
    </xf>
    <xf numFmtId="164" fontId="11" fillId="0" borderId="8" xfId="1" applyNumberFormat="1" applyFont="1" applyFill="1" applyBorder="1" applyAlignment="1">
      <alignment horizontal="right"/>
    </xf>
    <xf numFmtId="165" fontId="11" fillId="0" borderId="8" xfId="2" applyNumberFormat="1" applyFont="1" applyFill="1" applyBorder="1" applyAlignment="1">
      <alignment horizontal="right"/>
    </xf>
    <xf numFmtId="43" fontId="1" fillId="0" borderId="0" xfId="1" applyFont="1" applyBorder="1"/>
    <xf numFmtId="37" fontId="25" fillId="0" borderId="0" xfId="5" applyNumberFormat="1" applyFont="1" applyFill="1" applyBorder="1" applyAlignment="1">
      <alignment vertical="center"/>
    </xf>
    <xf numFmtId="9" fontId="17" fillId="0" borderId="0" xfId="0" applyNumberFormat="1" applyFont="1"/>
    <xf numFmtId="0" fontId="1" fillId="0" borderId="11" xfId="0" applyFont="1" applyBorder="1"/>
    <xf numFmtId="0" fontId="1" fillId="0" borderId="13" xfId="0" applyFont="1" applyBorder="1"/>
    <xf numFmtId="0" fontId="17" fillId="0" borderId="13" xfId="0" applyFont="1" applyBorder="1" applyAlignment="1">
      <alignment horizontal="right"/>
    </xf>
    <xf numFmtId="3" fontId="26" fillId="0" borderId="11" xfId="0" applyNumberFormat="1" applyFont="1" applyBorder="1"/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1" fontId="11" fillId="8" borderId="1" xfId="0" applyNumberFormat="1" applyFont="1" applyFill="1" applyBorder="1" applyAlignment="1">
      <alignment horizontal="center"/>
    </xf>
    <xf numFmtId="41" fontId="11" fillId="2" borderId="1" xfId="0" applyNumberFormat="1" applyFont="1" applyFill="1" applyBorder="1" applyAlignment="1">
      <alignment horizontal="center"/>
    </xf>
    <xf numFmtId="41" fontId="11" fillId="0" borderId="9" xfId="0" applyNumberFormat="1" applyFont="1" applyBorder="1" applyAlignment="1">
      <alignment horizontal="center"/>
    </xf>
    <xf numFmtId="42" fontId="16" fillId="0" borderId="6" xfId="0" applyNumberFormat="1" applyFont="1" applyBorder="1"/>
    <xf numFmtId="42" fontId="16" fillId="0" borderId="6" xfId="1" applyNumberFormat="1" applyFont="1" applyFill="1" applyBorder="1"/>
    <xf numFmtId="0" fontId="16" fillId="0" borderId="6" xfId="0" applyFont="1" applyBorder="1" applyAlignment="1">
      <alignment horizontal="center"/>
    </xf>
    <xf numFmtId="164" fontId="1" fillId="0" borderId="6" xfId="1" applyNumberFormat="1" applyFont="1" applyBorder="1" applyAlignment="1">
      <alignment horizontal="center"/>
    </xf>
    <xf numFmtId="42" fontId="1" fillId="0" borderId="6" xfId="1" applyNumberFormat="1" applyFont="1" applyBorder="1"/>
    <xf numFmtId="0" fontId="0" fillId="0" borderId="5" xfId="0" quotePrefix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165" fontId="1" fillId="0" borderId="4" xfId="2" applyNumberFormat="1" applyFont="1" applyBorder="1"/>
    <xf numFmtId="165" fontId="11" fillId="0" borderId="9" xfId="12" applyNumberFormat="1" applyFont="1" applyBorder="1" applyAlignment="1">
      <alignment horizontal="center"/>
    </xf>
    <xf numFmtId="164" fontId="1" fillId="0" borderId="12" xfId="1" applyNumberFormat="1" applyFont="1" applyBorder="1"/>
    <xf numFmtId="164" fontId="1" fillId="0" borderId="8" xfId="1" applyNumberFormat="1" applyFont="1" applyBorder="1"/>
    <xf numFmtId="164" fontId="1" fillId="0" borderId="10" xfId="1" applyNumberFormat="1" applyFont="1" applyBorder="1"/>
    <xf numFmtId="42" fontId="1" fillId="0" borderId="3" xfId="17" applyNumberFormat="1" applyFont="1" applyBorder="1" applyAlignment="1">
      <alignment horizontal="center" vertical="top"/>
    </xf>
    <xf numFmtId="42" fontId="1" fillId="0" borderId="12" xfId="17" applyNumberFormat="1" applyFont="1" applyBorder="1" applyAlignment="1">
      <alignment horizontal="center" vertical="top"/>
    </xf>
    <xf numFmtId="42" fontId="1" fillId="0" borderId="6" xfId="17" applyNumberFormat="1" applyFont="1" applyFill="1" applyBorder="1" applyAlignment="1">
      <alignment horizontal="center" vertical="top"/>
    </xf>
    <xf numFmtId="42" fontId="1" fillId="0" borderId="2" xfId="17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left"/>
    </xf>
    <xf numFmtId="164" fontId="1" fillId="0" borderId="7" xfId="1" applyNumberFormat="1" applyFont="1" applyBorder="1"/>
    <xf numFmtId="0" fontId="11" fillId="0" borderId="7" xfId="10" applyFont="1" applyBorder="1"/>
    <xf numFmtId="42" fontId="11" fillId="0" borderId="8" xfId="17" applyNumberFormat="1" applyFont="1" applyBorder="1" applyAlignment="1">
      <alignment horizontal="center" vertical="top"/>
    </xf>
    <xf numFmtId="42" fontId="11" fillId="0" borderId="9" xfId="17" applyNumberFormat="1" applyFont="1" applyBorder="1" applyAlignment="1">
      <alignment horizontal="center" vertical="top"/>
    </xf>
    <xf numFmtId="42" fontId="11" fillId="0" borderId="10" xfId="17" applyNumberFormat="1" applyFont="1" applyBorder="1" applyAlignment="1">
      <alignment horizontal="center" vertical="top"/>
    </xf>
    <xf numFmtId="42" fontId="11" fillId="0" borderId="7" xfId="17" applyNumberFormat="1" applyFont="1" applyBorder="1" applyAlignment="1">
      <alignment horizontal="center" vertical="top"/>
    </xf>
    <xf numFmtId="0" fontId="1" fillId="0" borderId="2" xfId="0" applyFont="1" applyBorder="1"/>
    <xf numFmtId="42" fontId="11" fillId="0" borderId="0" xfId="17" applyNumberFormat="1" applyFont="1" applyBorder="1" applyAlignment="1">
      <alignment horizontal="center"/>
    </xf>
    <xf numFmtId="42" fontId="11" fillId="0" borderId="6" xfId="17" applyNumberFormat="1" applyFont="1" applyBorder="1" applyAlignment="1">
      <alignment horizontal="center"/>
    </xf>
    <xf numFmtId="42" fontId="11" fillId="0" borderId="22" xfId="17" applyNumberFormat="1" applyFont="1" applyBorder="1" applyAlignment="1">
      <alignment horizontal="center"/>
    </xf>
    <xf numFmtId="42" fontId="11" fillId="0" borderId="5" xfId="17" applyNumberFormat="1" applyFont="1" applyBorder="1" applyAlignment="1">
      <alignment horizontal="center"/>
    </xf>
    <xf numFmtId="164" fontId="11" fillId="0" borderId="8" xfId="1" applyNumberFormat="1" applyFont="1" applyBorder="1"/>
    <xf numFmtId="164" fontId="11" fillId="0" borderId="10" xfId="1" applyNumberFormat="1" applyFont="1" applyBorder="1"/>
    <xf numFmtId="164" fontId="11" fillId="0" borderId="7" xfId="1" applyNumberFormat="1" applyFont="1" applyBorder="1"/>
    <xf numFmtId="37" fontId="7" fillId="8" borderId="11" xfId="4" applyNumberFormat="1" applyFont="1" applyFill="1" applyBorder="1" applyAlignment="1">
      <alignment horizontal="center"/>
    </xf>
    <xf numFmtId="9" fontId="7" fillId="2" borderId="1" xfId="4" applyNumberFormat="1" applyFont="1" applyFill="1" applyBorder="1" applyAlignment="1">
      <alignment horizontal="center"/>
    </xf>
    <xf numFmtId="165" fontId="11" fillId="0" borderId="2" xfId="2" applyNumberFormat="1" applyFont="1" applyBorder="1"/>
    <xf numFmtId="164" fontId="7" fillId="7" borderId="1" xfId="1" quotePrefix="1" applyNumberFormat="1" applyFont="1" applyFill="1" applyBorder="1" applyAlignment="1">
      <alignment horizontal="center" wrapText="1"/>
    </xf>
    <xf numFmtId="164" fontId="7" fillId="8" borderId="1" xfId="1" quotePrefix="1" applyNumberFormat="1" applyFont="1" applyFill="1" applyBorder="1" applyAlignment="1">
      <alignment horizontal="center" wrapText="1"/>
    </xf>
    <xf numFmtId="164" fontId="7" fillId="2" borderId="1" xfId="1" quotePrefix="1" applyNumberFormat="1" applyFont="1" applyFill="1" applyBorder="1" applyAlignment="1">
      <alignment horizontal="center" wrapText="1"/>
    </xf>
    <xf numFmtId="164" fontId="7" fillId="7" borderId="14" xfId="1" quotePrefix="1" applyNumberFormat="1" applyFont="1" applyFill="1" applyBorder="1" applyAlignment="1">
      <alignment horizontal="center" wrapText="1"/>
    </xf>
    <xf numFmtId="3" fontId="1" fillId="0" borderId="4" xfId="1" applyNumberFormat="1" applyFont="1" applyBorder="1"/>
    <xf numFmtId="3" fontId="1" fillId="0" borderId="4" xfId="1" applyNumberFormat="1" applyFont="1" applyBorder="1" applyAlignment="1">
      <alignment horizontal="right"/>
    </xf>
    <xf numFmtId="42" fontId="1" fillId="0" borderId="6" xfId="16" applyFont="1" applyBorder="1"/>
    <xf numFmtId="42" fontId="1" fillId="0" borderId="6" xfId="16" applyFont="1" applyFill="1" applyBorder="1"/>
    <xf numFmtId="0" fontId="1" fillId="0" borderId="6" xfId="4" applyFont="1" applyBorder="1"/>
    <xf numFmtId="0" fontId="1" fillId="0" borderId="7" xfId="0" applyFont="1" applyBorder="1"/>
    <xf numFmtId="0" fontId="1" fillId="0" borderId="9" xfId="0" applyFont="1" applyBorder="1"/>
    <xf numFmtId="10" fontId="1" fillId="0" borderId="0" xfId="0" applyNumberFormat="1" applyFont="1"/>
    <xf numFmtId="3" fontId="0" fillId="0" borderId="0" xfId="0" quotePrefix="1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7" fontId="11" fillId="8" borderId="1" xfId="4" applyNumberFormat="1" applyFont="1" applyFill="1" applyBorder="1" applyAlignment="1">
      <alignment horizontal="center"/>
    </xf>
    <xf numFmtId="9" fontId="11" fillId="2" borderId="1" xfId="4" applyNumberFormat="1" applyFont="1" applyFill="1" applyBorder="1" applyAlignment="1">
      <alignment horizontal="center"/>
    </xf>
    <xf numFmtId="37" fontId="11" fillId="8" borderId="7" xfId="4" applyNumberFormat="1" applyFont="1" applyFill="1" applyBorder="1" applyAlignment="1">
      <alignment horizontal="center"/>
    </xf>
    <xf numFmtId="9" fontId="11" fillId="2" borderId="9" xfId="4" applyNumberFormat="1" applyFont="1" applyFill="1" applyBorder="1" applyAlignment="1">
      <alignment horizontal="center"/>
    </xf>
    <xf numFmtId="0" fontId="0" fillId="0" borderId="1" xfId="0" applyNumberFormat="1" applyFont="1" applyBorder="1"/>
    <xf numFmtId="164" fontId="11" fillId="7" borderId="1" xfId="1" quotePrefix="1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 applyProtection="1">
      <alignment horizontal="center" wrapText="1"/>
    </xf>
    <xf numFmtId="164" fontId="11" fillId="8" borderId="1" xfId="1" quotePrefix="1" applyNumberFormat="1" applyFont="1" applyFill="1" applyBorder="1" applyAlignment="1">
      <alignment horizontal="center" wrapText="1"/>
    </xf>
    <xf numFmtId="164" fontId="11" fillId="2" borderId="1" xfId="1" quotePrefix="1" applyNumberFormat="1" applyFont="1" applyFill="1" applyBorder="1" applyAlignment="1">
      <alignment horizontal="center" wrapText="1"/>
    </xf>
    <xf numFmtId="0" fontId="0" fillId="0" borderId="9" xfId="0" applyNumberFormat="1" applyFont="1" applyBorder="1"/>
    <xf numFmtId="0" fontId="19" fillId="0" borderId="4" xfId="0" applyNumberFormat="1" applyFont="1" applyBorder="1" applyAlignment="1">
      <alignment horizontal="left"/>
    </xf>
    <xf numFmtId="0" fontId="1" fillId="0" borderId="4" xfId="0" applyNumberFormat="1" applyFont="1" applyBorder="1"/>
    <xf numFmtId="0" fontId="1" fillId="0" borderId="12" xfId="0" applyNumberFormat="1" applyFont="1" applyBorder="1"/>
    <xf numFmtId="0" fontId="0" fillId="0" borderId="6" xfId="0" applyNumberFormat="1" applyFont="1" applyBorder="1" applyAlignment="1">
      <alignment horizontal="left"/>
    </xf>
    <xf numFmtId="164" fontId="1" fillId="0" borderId="22" xfId="1" applyNumberFormat="1" applyFont="1" applyFill="1" applyBorder="1"/>
    <xf numFmtId="164" fontId="16" fillId="0" borderId="22" xfId="1" applyNumberFormat="1" applyFont="1" applyFill="1" applyBorder="1"/>
    <xf numFmtId="0" fontId="0" fillId="0" borderId="6" xfId="0" quotePrefix="1" applyNumberFormat="1" applyFont="1" applyBorder="1" applyAlignment="1">
      <alignment horizontal="left"/>
    </xf>
    <xf numFmtId="0" fontId="0" fillId="0" borderId="6" xfId="0" applyNumberFormat="1" applyFont="1" applyBorder="1"/>
    <xf numFmtId="0" fontId="0" fillId="0" borderId="6" xfId="0" quotePrefix="1" applyNumberFormat="1" applyFont="1" applyFill="1" applyBorder="1" applyAlignment="1">
      <alignment horizontal="left"/>
    </xf>
    <xf numFmtId="0" fontId="0" fillId="0" borderId="9" xfId="0" quotePrefix="1" applyNumberFormat="1" applyFont="1" applyFill="1" applyBorder="1" applyAlignment="1">
      <alignment horizontal="left"/>
    </xf>
    <xf numFmtId="164" fontId="1" fillId="0" borderId="9" xfId="1" applyNumberFormat="1" applyFont="1" applyFill="1" applyBorder="1" applyAlignment="1">
      <alignment horizontal="right"/>
    </xf>
    <xf numFmtId="164" fontId="1" fillId="0" borderId="10" xfId="1" applyNumberFormat="1" applyFont="1" applyFill="1" applyBorder="1"/>
    <xf numFmtId="164" fontId="16" fillId="0" borderId="10" xfId="1" applyNumberFormat="1" applyFont="1" applyFill="1" applyBorder="1"/>
    <xf numFmtId="0" fontId="11" fillId="0" borderId="6" xfId="0" quotePrefix="1" applyNumberFormat="1" applyFont="1" applyBorder="1" applyAlignment="1">
      <alignment horizontal="left"/>
    </xf>
    <xf numFmtId="164" fontId="22" fillId="0" borderId="6" xfId="1" quotePrefix="1" applyNumberFormat="1" applyFont="1" applyBorder="1" applyAlignment="1">
      <alignment horizontal="right"/>
    </xf>
    <xf numFmtId="44" fontId="22" fillId="0" borderId="4" xfId="0" applyNumberFormat="1" applyFont="1" applyBorder="1"/>
    <xf numFmtId="164" fontId="22" fillId="0" borderId="22" xfId="1" applyNumberFormat="1" applyFont="1" applyBorder="1"/>
    <xf numFmtId="0" fontId="1" fillId="0" borderId="6" xfId="0" applyNumberFormat="1" applyFont="1" applyBorder="1"/>
    <xf numFmtId="44" fontId="1" fillId="0" borderId="6" xfId="0" applyNumberFormat="1" applyFont="1" applyBorder="1"/>
    <xf numFmtId="0" fontId="19" fillId="0" borderId="6" xfId="0" quotePrefix="1" applyNumberFormat="1" applyFont="1" applyFill="1" applyBorder="1" applyAlignment="1">
      <alignment horizontal="left"/>
    </xf>
    <xf numFmtId="43" fontId="19" fillId="0" borderId="6" xfId="0" quotePrefix="1" applyNumberFormat="1" applyFont="1" applyFill="1" applyBorder="1" applyAlignment="1">
      <alignment horizontal="left"/>
    </xf>
    <xf numFmtId="0" fontId="0" fillId="0" borderId="6" xfId="0" applyNumberFormat="1" applyFont="1" applyFill="1" applyBorder="1" applyAlignment="1">
      <alignment horizontal="left"/>
    </xf>
    <xf numFmtId="44" fontId="0" fillId="0" borderId="6" xfId="0" applyNumberFormat="1" applyFont="1" applyFill="1" applyBorder="1"/>
    <xf numFmtId="165" fontId="0" fillId="0" borderId="6" xfId="2" applyNumberFormat="1" applyFont="1" applyFill="1" applyBorder="1"/>
    <xf numFmtId="43" fontId="0" fillId="0" borderId="6" xfId="1" applyFont="1" applyFill="1" applyBorder="1"/>
    <xf numFmtId="164" fontId="0" fillId="0" borderId="22" xfId="1" applyNumberFormat="1" applyFont="1" applyFill="1" applyBorder="1"/>
    <xf numFmtId="43" fontId="1" fillId="0" borderId="0" xfId="0" applyNumberFormat="1" applyFont="1"/>
    <xf numFmtId="0" fontId="11" fillId="0" borderId="4" xfId="0" applyNumberFormat="1" applyFont="1" applyBorder="1" applyAlignment="1">
      <alignment horizontal="left"/>
    </xf>
    <xf numFmtId="165" fontId="16" fillId="0" borderId="6" xfId="2" applyNumberFormat="1" applyFont="1" applyBorder="1" applyAlignment="1">
      <alignment horizontal="left"/>
    </xf>
    <xf numFmtId="44" fontId="16" fillId="0" borderId="4" xfId="2" applyNumberFormat="1" applyFont="1" applyFill="1" applyBorder="1"/>
    <xf numFmtId="165" fontId="16" fillId="0" borderId="12" xfId="2" applyNumberFormat="1" applyFont="1" applyBorder="1"/>
    <xf numFmtId="0" fontId="16" fillId="0" borderId="6" xfId="0" quotePrefix="1" applyNumberFormat="1" applyFont="1" applyBorder="1" applyAlignment="1">
      <alignment horizontal="left"/>
    </xf>
    <xf numFmtId="164" fontId="16" fillId="0" borderId="22" xfId="1" applyNumberFormat="1" applyFont="1" applyBorder="1"/>
    <xf numFmtId="0" fontId="31" fillId="0" borderId="6" xfId="0" applyNumberFormat="1" applyFont="1" applyBorder="1"/>
    <xf numFmtId="0" fontId="22" fillId="0" borderId="6" xfId="0" applyNumberFormat="1" applyFont="1" applyBorder="1"/>
    <xf numFmtId="0" fontId="16" fillId="0" borderId="6" xfId="0" applyFont="1" applyFill="1" applyBorder="1"/>
    <xf numFmtId="42" fontId="16" fillId="0" borderId="6" xfId="1" applyNumberFormat="1" applyFont="1" applyBorder="1"/>
    <xf numFmtId="44" fontId="16" fillId="0" borderId="6" xfId="0" applyNumberFormat="1" applyFont="1" applyFill="1" applyBorder="1"/>
    <xf numFmtId="43" fontId="16" fillId="0" borderId="6" xfId="1" applyFont="1" applyFill="1" applyBorder="1"/>
    <xf numFmtId="0" fontId="0" fillId="0" borderId="6" xfId="0" applyNumberFormat="1" applyFill="1" applyBorder="1"/>
    <xf numFmtId="43" fontId="24" fillId="0" borderId="6" xfId="1" applyFont="1" applyFill="1" applyBorder="1"/>
    <xf numFmtId="164" fontId="29" fillId="0" borderId="22" xfId="1" applyNumberFormat="1" applyFont="1" applyFill="1" applyBorder="1"/>
    <xf numFmtId="44" fontId="1" fillId="0" borderId="6" xfId="2" applyNumberFormat="1" applyFont="1" applyBorder="1"/>
    <xf numFmtId="0" fontId="0" fillId="0" borderId="5" xfId="0" quotePrefix="1" applyNumberFormat="1" applyFont="1" applyFill="1" applyBorder="1" applyAlignment="1">
      <alignment horizontal="left"/>
    </xf>
    <xf numFmtId="0" fontId="0" fillId="0" borderId="4" xfId="0" applyNumberFormat="1" applyFont="1" applyBorder="1"/>
    <xf numFmtId="0" fontId="11" fillId="0" borderId="9" xfId="0" quotePrefix="1" applyNumberFormat="1" applyFont="1" applyBorder="1" applyAlignment="1">
      <alignment horizontal="left"/>
    </xf>
    <xf numFmtId="165" fontId="11" fillId="0" borderId="9" xfId="0" applyNumberFormat="1" applyFont="1" applyBorder="1" applyAlignment="1">
      <alignment horizontal="left"/>
    </xf>
    <xf numFmtId="0" fontId="11" fillId="0" borderId="9" xfId="0" applyNumberFormat="1" applyFont="1" applyBorder="1"/>
    <xf numFmtId="44" fontId="1" fillId="0" borderId="0" xfId="0" applyNumberFormat="1" applyFont="1"/>
    <xf numFmtId="3" fontId="5" fillId="0" borderId="0" xfId="0" quotePrefix="1" applyNumberFormat="1" applyFont="1" applyBorder="1" applyAlignment="1">
      <alignment horizontal="left"/>
    </xf>
    <xf numFmtId="3" fontId="40" fillId="0" borderId="0" xfId="0" applyNumberFormat="1" applyFont="1" applyFill="1" applyBorder="1" applyAlignment="1">
      <alignment horizontal="left"/>
    </xf>
    <xf numFmtId="4" fontId="40" fillId="0" borderId="0" xfId="0" quotePrefix="1" applyNumberFormat="1" applyFont="1" applyFill="1" applyBorder="1" applyAlignment="1">
      <alignment horizontal="left"/>
    </xf>
    <xf numFmtId="3" fontId="40" fillId="0" borderId="0" xfId="0" quotePrefix="1" applyNumberFormat="1" applyFont="1" applyFill="1" applyBorder="1" applyAlignment="1">
      <alignment horizontal="left"/>
    </xf>
    <xf numFmtId="3" fontId="40" fillId="0" borderId="0" xfId="0" quotePrefix="1" applyNumberFormat="1" applyFont="1" applyFill="1" applyBorder="1" applyAlignment="1">
      <alignment horizontal="center"/>
    </xf>
    <xf numFmtId="3" fontId="12" fillId="0" borderId="0" xfId="0" quotePrefix="1" applyNumberFormat="1" applyFont="1" applyFill="1" applyBorder="1" applyAlignment="1">
      <alignment horizontal="left"/>
    </xf>
    <xf numFmtId="3" fontId="41" fillId="0" borderId="0" xfId="0" quotePrefix="1" applyNumberFormat="1" applyFont="1" applyFill="1" applyBorder="1" applyAlignment="1">
      <alignment horizontal="left"/>
    </xf>
    <xf numFmtId="0" fontId="17" fillId="0" borderId="0" xfId="0" applyFont="1"/>
    <xf numFmtId="10" fontId="17" fillId="0" borderId="0" xfId="0" applyNumberFormat="1" applyFont="1"/>
    <xf numFmtId="10" fontId="17" fillId="0" borderId="0" xfId="0" applyNumberFormat="1" applyFont="1" applyAlignment="1">
      <alignment horizontal="center"/>
    </xf>
    <xf numFmtId="43" fontId="11" fillId="0" borderId="11" xfId="1" quotePrefix="1" applyFont="1" applyFill="1" applyBorder="1" applyAlignment="1">
      <alignment horizontal="left"/>
    </xf>
    <xf numFmtId="43" fontId="11" fillId="0" borderId="1" xfId="1" quotePrefix="1" applyFont="1" applyFill="1" applyBorder="1" applyAlignment="1">
      <alignment horizontal="left"/>
    </xf>
    <xf numFmtId="43" fontId="11" fillId="0" borderId="11" xfId="1" applyFont="1" applyFill="1" applyBorder="1" applyAlignment="1">
      <alignment horizontal="left"/>
    </xf>
    <xf numFmtId="43" fontId="11" fillId="0" borderId="1" xfId="1" applyFont="1" applyFill="1" applyBorder="1" applyAlignment="1">
      <alignment horizontal="left"/>
    </xf>
    <xf numFmtId="0" fontId="1" fillId="0" borderId="2" xfId="0" applyNumberFormat="1" applyFont="1" applyFill="1" applyBorder="1"/>
    <xf numFmtId="0" fontId="1" fillId="0" borderId="4" xfId="0" applyNumberFormat="1" applyFont="1" applyFill="1" applyBorder="1"/>
    <xf numFmtId="43" fontId="0" fillId="0" borderId="5" xfId="1" quotePrefix="1" applyFont="1" applyFill="1" applyBorder="1" applyAlignment="1">
      <alignment horizontal="left"/>
    </xf>
    <xf numFmtId="176" fontId="1" fillId="0" borderId="6" xfId="2" applyNumberFormat="1" applyFont="1" applyFill="1" applyBorder="1"/>
    <xf numFmtId="176" fontId="42" fillId="0" borderId="6" xfId="2" applyNumberFormat="1" applyFont="1" applyFill="1" applyBorder="1"/>
    <xf numFmtId="176" fontId="1" fillId="0" borderId="6" xfId="1" applyNumberFormat="1" applyFont="1" applyFill="1" applyBorder="1"/>
    <xf numFmtId="176" fontId="42" fillId="0" borderId="6" xfId="1" applyNumberFormat="1" applyFont="1" applyFill="1" applyBorder="1"/>
    <xf numFmtId="176" fontId="42" fillId="0" borderId="4" xfId="1" applyNumberFormat="1" applyFont="1" applyFill="1" applyBorder="1"/>
    <xf numFmtId="176" fontId="1" fillId="0" borderId="4" xfId="1" applyNumberFormat="1" applyFont="1" applyFill="1" applyBorder="1"/>
    <xf numFmtId="0" fontId="1" fillId="0" borderId="5" xfId="0" applyNumberFormat="1" applyFont="1" applyFill="1" applyBorder="1" applyAlignment="1">
      <alignment horizontal="left"/>
    </xf>
    <xf numFmtId="176" fontId="11" fillId="0" borderId="23" xfId="0" applyNumberFormat="1" applyFont="1" applyFill="1" applyBorder="1"/>
    <xf numFmtId="43" fontId="1" fillId="0" borderId="5" xfId="1" quotePrefix="1" applyFont="1" applyFill="1" applyBorder="1" applyAlignment="1">
      <alignment horizontal="left"/>
    </xf>
    <xf numFmtId="176" fontId="29" fillId="0" borderId="6" xfId="1" applyNumberFormat="1" applyFont="1" applyFill="1" applyBorder="1"/>
    <xf numFmtId="0" fontId="1" fillId="0" borderId="5" xfId="0" quotePrefix="1" applyNumberFormat="1" applyFont="1" applyFill="1" applyBorder="1" applyAlignment="1">
      <alignment horizontal="left"/>
    </xf>
    <xf numFmtId="0" fontId="0" fillId="0" borderId="5" xfId="0" applyNumberFormat="1" applyFont="1" applyFill="1" applyBorder="1" applyAlignment="1">
      <alignment horizontal="left"/>
    </xf>
    <xf numFmtId="176" fontId="1" fillId="0" borderId="6" xfId="0" applyNumberFormat="1" applyFont="1" applyFill="1" applyBorder="1"/>
    <xf numFmtId="0" fontId="11" fillId="0" borderId="5" xfId="0" quotePrefix="1" applyNumberFormat="1" applyFont="1" applyFill="1" applyBorder="1" applyAlignment="1">
      <alignment horizontal="left"/>
    </xf>
    <xf numFmtId="41" fontId="0" fillId="0" borderId="6" xfId="0" applyNumberFormat="1" applyFont="1" applyFill="1" applyBorder="1"/>
    <xf numFmtId="37" fontId="0" fillId="0" borderId="6" xfId="0" applyNumberFormat="1" applyFont="1" applyFill="1" applyBorder="1"/>
    <xf numFmtId="42" fontId="0" fillId="0" borderId="6" xfId="2" applyNumberFormat="1" applyFont="1" applyFill="1" applyBorder="1"/>
    <xf numFmtId="43" fontId="1" fillId="0" borderId="5" xfId="1" applyFont="1" applyFill="1" applyBorder="1"/>
    <xf numFmtId="164" fontId="0" fillId="0" borderId="6" xfId="1" applyNumberFormat="1" applyFont="1" applyBorder="1"/>
    <xf numFmtId="164" fontId="0" fillId="0" borderId="4" xfId="1" applyNumberFormat="1" applyFont="1" applyFill="1" applyBorder="1"/>
    <xf numFmtId="164" fontId="0" fillId="0" borderId="23" xfId="1" applyNumberFormat="1" applyFont="1" applyBorder="1"/>
    <xf numFmtId="0" fontId="1" fillId="0" borderId="2" xfId="0" quotePrefix="1" applyNumberFormat="1" applyFont="1" applyFill="1" applyBorder="1" applyAlignment="1">
      <alignment horizontal="left"/>
    </xf>
    <xf numFmtId="0" fontId="11" fillId="0" borderId="7" xfId="0" quotePrefix="1" applyNumberFormat="1" applyFont="1" applyFill="1" applyBorder="1" applyAlignment="1">
      <alignment horizontal="left"/>
    </xf>
    <xf numFmtId="42" fontId="11" fillId="0" borderId="9" xfId="0" applyNumberFormat="1" applyFont="1" applyBorder="1"/>
    <xf numFmtId="0" fontId="0" fillId="0" borderId="0" xfId="6" quotePrefix="1" applyFont="1" applyFill="1" applyAlignment="1">
      <alignment horizontal="left" vertical="center"/>
    </xf>
    <xf numFmtId="164" fontId="1" fillId="0" borderId="0" xfId="1" quotePrefix="1" applyNumberFormat="1" applyFont="1" applyFill="1" applyAlignment="1">
      <alignment horizontal="left" vertical="center"/>
    </xf>
    <xf numFmtId="0" fontId="1" fillId="0" borderId="0" xfId="0" applyNumberFormat="1" applyFont="1"/>
    <xf numFmtId="41" fontId="1" fillId="0" borderId="0" xfId="0" applyNumberFormat="1" applyFont="1"/>
    <xf numFmtId="0" fontId="0" fillId="0" borderId="0" xfId="0" applyFont="1" applyAlignment="1">
      <alignment horizontal="left" indent="1"/>
    </xf>
    <xf numFmtId="44" fontId="1" fillId="0" borderId="0" xfId="2" applyFont="1"/>
    <xf numFmtId="44" fontId="0" fillId="0" borderId="0" xfId="0" applyNumberFormat="1" applyFont="1"/>
    <xf numFmtId="0" fontId="0" fillId="0" borderId="0" xfId="0" quotePrefix="1" applyFont="1" applyAlignment="1">
      <alignment horizontal="left" indent="1"/>
    </xf>
    <xf numFmtId="0" fontId="0" fillId="0" borderId="8" xfId="0" quotePrefix="1" applyFont="1" applyBorder="1" applyAlignment="1">
      <alignment horizontal="left" indent="1"/>
    </xf>
    <xf numFmtId="4" fontId="43" fillId="0" borderId="8" xfId="0" applyNumberFormat="1" applyFont="1" applyBorder="1"/>
    <xf numFmtId="0" fontId="43" fillId="0" borderId="8" xfId="0" applyFont="1" applyBorder="1"/>
    <xf numFmtId="43" fontId="16" fillId="0" borderId="8" xfId="1" applyFont="1" applyBorder="1"/>
    <xf numFmtId="4" fontId="43" fillId="0" borderId="0" xfId="0" applyNumberFormat="1" applyFont="1"/>
    <xf numFmtId="43" fontId="43" fillId="0" borderId="0" xfId="1" applyFont="1" applyBorder="1"/>
    <xf numFmtId="0" fontId="43" fillId="0" borderId="0" xfId="0" applyFont="1"/>
    <xf numFmtId="1" fontId="16" fillId="0" borderId="0" xfId="0" applyNumberFormat="1" applyFont="1" applyAlignment="1">
      <alignment horizontal="left"/>
    </xf>
    <xf numFmtId="44" fontId="16" fillId="0" borderId="0" xfId="2" applyFont="1"/>
    <xf numFmtId="1" fontId="43" fillId="0" borderId="0" xfId="0" applyNumberFormat="1" applyFont="1" applyAlignment="1">
      <alignment horizontal="left"/>
    </xf>
    <xf numFmtId="43" fontId="43" fillId="0" borderId="0" xfId="1" applyFont="1" applyAlignment="1">
      <alignment horizontal="left"/>
    </xf>
    <xf numFmtId="10" fontId="17" fillId="0" borderId="8" xfId="0" applyNumberFormat="1" applyFont="1" applyFill="1" applyBorder="1" applyAlignment="1">
      <alignment horizontal="center"/>
    </xf>
    <xf numFmtId="37" fontId="11" fillId="8" borderId="11" xfId="4" applyNumberFormat="1" applyFont="1" applyFill="1" applyBorder="1" applyAlignment="1">
      <alignment horizontal="center"/>
    </xf>
    <xf numFmtId="43" fontId="11" fillId="0" borderId="2" xfId="1" quotePrefix="1" applyFont="1" applyFill="1" applyBorder="1" applyAlignment="1">
      <alignment horizontal="left"/>
    </xf>
    <xf numFmtId="0" fontId="11" fillId="0" borderId="1" xfId="0" quotePrefix="1" applyFont="1" applyBorder="1" applyAlignment="1" applyProtection="1">
      <alignment horizontal="left"/>
    </xf>
    <xf numFmtId="0" fontId="11" fillId="0" borderId="9" xfId="0" quotePrefix="1" applyFont="1" applyBorder="1" applyAlignment="1" applyProtection="1">
      <alignment horizontal="center"/>
    </xf>
    <xf numFmtId="0" fontId="19" fillId="0" borderId="5" xfId="0" quotePrefix="1" applyFont="1" applyBorder="1" applyAlignment="1">
      <alignment horizontal="left"/>
    </xf>
    <xf numFmtId="0" fontId="1" fillId="0" borderId="29" xfId="0" applyFont="1" applyFill="1" applyBorder="1"/>
    <xf numFmtId="0" fontId="19" fillId="0" borderId="30" xfId="0" quotePrefix="1" applyFont="1" applyBorder="1" applyAlignment="1">
      <alignment horizontal="left"/>
    </xf>
    <xf numFmtId="0" fontId="16" fillId="0" borderId="30" xfId="0" applyFont="1" applyBorder="1"/>
    <xf numFmtId="41" fontId="1" fillId="0" borderId="6" xfId="1" applyNumberFormat="1" applyFont="1" applyBorder="1"/>
    <xf numFmtId="0" fontId="1" fillId="0" borderId="30" xfId="0" applyFont="1" applyBorder="1"/>
    <xf numFmtId="0" fontId="0" fillId="0" borderId="6" xfId="0" applyFont="1" applyBorder="1"/>
    <xf numFmtId="0" fontId="1" fillId="0" borderId="31" xfId="0" applyFont="1" applyFill="1" applyBorder="1"/>
    <xf numFmtId="0" fontId="1" fillId="0" borderId="32" xfId="0" applyFont="1" applyBorder="1"/>
    <xf numFmtId="0" fontId="22" fillId="0" borderId="33" xfId="0" quotePrefix="1" applyFont="1" applyBorder="1" applyAlignment="1">
      <alignment horizontal="left"/>
    </xf>
    <xf numFmtId="165" fontId="11" fillId="0" borderId="34" xfId="2" applyNumberFormat="1" applyFont="1" applyFill="1" applyBorder="1"/>
    <xf numFmtId="165" fontId="11" fillId="0" borderId="34" xfId="2" applyNumberFormat="1" applyFont="1" applyBorder="1"/>
    <xf numFmtId="165" fontId="11" fillId="0" borderId="33" xfId="2" applyNumberFormat="1" applyFont="1" applyBorder="1"/>
    <xf numFmtId="0" fontId="0" fillId="0" borderId="0" xfId="0" quotePrefix="1" applyAlignment="1">
      <alignment horizontal="left"/>
    </xf>
    <xf numFmtId="3" fontId="22" fillId="0" borderId="0" xfId="0" quotePrefix="1" applyNumberFormat="1" applyFont="1" applyFill="1" applyBorder="1" applyAlignment="1">
      <alignment horizontal="left"/>
    </xf>
    <xf numFmtId="3" fontId="16" fillId="0" borderId="0" xfId="0" quotePrefix="1" applyNumberFormat="1" applyFont="1" applyBorder="1" applyAlignment="1">
      <alignment horizontal="left"/>
    </xf>
    <xf numFmtId="3" fontId="31" fillId="0" borderId="0" xfId="0" applyNumberFormat="1" applyFont="1" applyBorder="1" applyAlignment="1">
      <alignment horizontal="left"/>
    </xf>
    <xf numFmtId="0" fontId="13" fillId="0" borderId="0" xfId="0" applyFont="1" applyFill="1"/>
    <xf numFmtId="3" fontId="22" fillId="0" borderId="0" xfId="0" applyNumberFormat="1" applyFont="1" applyBorder="1"/>
    <xf numFmtId="0" fontId="16" fillId="0" borderId="0" xfId="0" applyFont="1"/>
    <xf numFmtId="43" fontId="11" fillId="0" borderId="4" xfId="1" quotePrefix="1" applyFont="1" applyFill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164" fontId="1" fillId="0" borderId="38" xfId="1" applyNumberFormat="1" applyFont="1" applyBorder="1"/>
    <xf numFmtId="0" fontId="16" fillId="0" borderId="29" xfId="0" applyFont="1" applyBorder="1" applyAlignment="1">
      <alignment horizontal="left"/>
    </xf>
    <xf numFmtId="0" fontId="16" fillId="0" borderId="29" xfId="0" applyFont="1" applyBorder="1"/>
    <xf numFmtId="0" fontId="16" fillId="0" borderId="29" xfId="0" quotePrefix="1" applyFont="1" applyFill="1" applyBorder="1" applyAlignment="1">
      <alignment horizontal="left"/>
    </xf>
    <xf numFmtId="0" fontId="16" fillId="0" borderId="31" xfId="0" applyFont="1" applyBorder="1"/>
    <xf numFmtId="164" fontId="1" fillId="0" borderId="39" xfId="1" applyNumberFormat="1" applyFont="1" applyBorder="1"/>
    <xf numFmtId="0" fontId="22" fillId="0" borderId="33" xfId="0" applyFont="1" applyBorder="1" applyAlignment="1">
      <alignment horizontal="left"/>
    </xf>
    <xf numFmtId="0" fontId="16" fillId="0" borderId="29" xfId="0" quotePrefix="1" applyFont="1" applyBorder="1" applyAlignment="1">
      <alignment horizontal="left"/>
    </xf>
    <xf numFmtId="174" fontId="11" fillId="0" borderId="40" xfId="0" applyNumberFormat="1" applyFont="1" applyBorder="1"/>
    <xf numFmtId="44" fontId="1" fillId="0" borderId="6" xfId="2" applyFont="1" applyBorder="1"/>
    <xf numFmtId="43" fontId="1" fillId="0" borderId="6" xfId="2" applyNumberFormat="1" applyFont="1" applyBorder="1"/>
    <xf numFmtId="43" fontId="1" fillId="0" borderId="6" xfId="2" applyNumberFormat="1" applyFont="1" applyFill="1" applyBorder="1"/>
    <xf numFmtId="0" fontId="31" fillId="0" borderId="37" xfId="0" applyFont="1" applyBorder="1"/>
    <xf numFmtId="0" fontId="11" fillId="0" borderId="38" xfId="0" applyFont="1" applyBorder="1" applyAlignment="1">
      <alignment horizontal="center"/>
    </xf>
    <xf numFmtId="164" fontId="1" fillId="0" borderId="38" xfId="1" applyNumberFormat="1" applyFont="1" applyFill="1" applyBorder="1"/>
    <xf numFmtId="165" fontId="11" fillId="0" borderId="41" xfId="2" applyNumberFormat="1" applyFont="1" applyFill="1" applyBorder="1"/>
    <xf numFmtId="0" fontId="1" fillId="0" borderId="42" xfId="0" applyFont="1" applyBorder="1"/>
    <xf numFmtId="49" fontId="16" fillId="0" borderId="0" xfId="1" quotePrefix="1" applyNumberFormat="1" applyFont="1" applyBorder="1" applyAlignment="1">
      <alignment horizontal="left"/>
    </xf>
    <xf numFmtId="49" fontId="31" fillId="0" borderId="0" xfId="1" applyNumberFormat="1" applyFont="1" applyFill="1" applyBorder="1" applyAlignment="1">
      <alignment horizontal="left"/>
    </xf>
    <xf numFmtId="43" fontId="11" fillId="0" borderId="39" xfId="1" quotePrefix="1" applyFont="1" applyFill="1" applyBorder="1" applyAlignment="1">
      <alignment horizontal="left"/>
    </xf>
    <xf numFmtId="164" fontId="11" fillId="7" borderId="1" xfId="1" quotePrefix="1" applyNumberFormat="1" applyFont="1" applyFill="1" applyBorder="1" applyAlignment="1">
      <alignment horizontal="left" wrapText="1"/>
    </xf>
    <xf numFmtId="0" fontId="22" fillId="0" borderId="11" xfId="0" applyFont="1" applyBorder="1" applyAlignment="1">
      <alignment horizontal="left"/>
    </xf>
    <xf numFmtId="0" fontId="30" fillId="0" borderId="5" xfId="0" applyFont="1" applyBorder="1" applyAlignment="1"/>
    <xf numFmtId="175" fontId="11" fillId="0" borderId="5" xfId="0" applyNumberFormat="1" applyFont="1" applyBorder="1" applyAlignment="1">
      <alignment horizontal="center"/>
    </xf>
    <xf numFmtId="175" fontId="11" fillId="0" borderId="6" xfId="0" applyNumberFormat="1" applyFont="1" applyBorder="1" applyAlignment="1">
      <alignment horizontal="center"/>
    </xf>
    <xf numFmtId="0" fontId="16" fillId="0" borderId="5" xfId="0" applyFont="1" applyBorder="1" applyAlignment="1"/>
    <xf numFmtId="164" fontId="1" fillId="0" borderId="6" xfId="1" applyNumberFormat="1" applyFont="1" applyBorder="1" applyAlignment="1"/>
    <xf numFmtId="0" fontId="16" fillId="0" borderId="2" xfId="0" applyFont="1" applyBorder="1" applyAlignment="1"/>
    <xf numFmtId="37" fontId="1" fillId="0" borderId="39" xfId="1" applyNumberFormat="1" applyFont="1" applyBorder="1" applyAlignment="1"/>
    <xf numFmtId="37" fontId="1" fillId="0" borderId="39" xfId="1" applyNumberFormat="1" applyFont="1" applyFill="1" applyBorder="1" applyAlignment="1"/>
    <xf numFmtId="164" fontId="11" fillId="0" borderId="9" xfId="1" applyNumberFormat="1" applyFont="1" applyBorder="1" applyAlignment="1"/>
    <xf numFmtId="0" fontId="22" fillId="0" borderId="7" xfId="0" applyFont="1" applyBorder="1" applyAlignment="1"/>
    <xf numFmtId="0" fontId="1" fillId="0" borderId="6" xfId="0" applyFont="1" applyBorder="1" applyAlignment="1"/>
    <xf numFmtId="165" fontId="1" fillId="0" borderId="6" xfId="2" applyNumberFormat="1" applyFont="1" applyBorder="1"/>
    <xf numFmtId="165" fontId="1" fillId="0" borderId="22" xfId="2" applyNumberFormat="1" applyFont="1" applyFill="1" applyBorder="1" applyAlignment="1">
      <alignment horizontal="center"/>
    </xf>
    <xf numFmtId="0" fontId="16" fillId="0" borderId="5" xfId="0" applyFont="1" applyFill="1" applyBorder="1" applyAlignment="1"/>
    <xf numFmtId="0" fontId="1" fillId="0" borderId="39" xfId="0" applyFont="1" applyBorder="1" applyAlignment="1"/>
    <xf numFmtId="0" fontId="1" fillId="0" borderId="39" xfId="0" applyFont="1" applyFill="1" applyBorder="1" applyAlignment="1"/>
    <xf numFmtId="0" fontId="22" fillId="0" borderId="5" xfId="0" applyFont="1" applyBorder="1" applyAlignment="1"/>
    <xf numFmtId="165" fontId="1" fillId="0" borderId="6" xfId="2" applyNumberFormat="1" applyFont="1" applyBorder="1" applyAlignment="1"/>
    <xf numFmtId="164" fontId="1" fillId="0" borderId="39" xfId="1" applyNumberFormat="1" applyFont="1" applyBorder="1" applyAlignment="1"/>
    <xf numFmtId="165" fontId="11" fillId="0" borderId="9" xfId="2" applyNumberFormat="1" applyFont="1" applyBorder="1" applyAlignment="1"/>
    <xf numFmtId="0" fontId="16" fillId="0" borderId="0" xfId="0" applyFont="1" applyFill="1" applyBorder="1"/>
    <xf numFmtId="49" fontId="1" fillId="0" borderId="0" xfId="1" quotePrefix="1" applyNumberFormat="1" applyFont="1" applyBorder="1" applyAlignment="1">
      <alignment horizontal="left"/>
    </xf>
    <xf numFmtId="49" fontId="19" fillId="0" borderId="0" xfId="1" applyNumberFormat="1" applyFont="1" applyFill="1" applyBorder="1" applyAlignment="1">
      <alignment horizontal="left"/>
    </xf>
    <xf numFmtId="177" fontId="1" fillId="0" borderId="6" xfId="1" applyNumberFormat="1" applyFont="1" applyBorder="1"/>
    <xf numFmtId="177" fontId="1" fillId="0" borderId="6" xfId="1" applyNumberFormat="1" applyFont="1" applyFill="1" applyBorder="1"/>
    <xf numFmtId="0" fontId="0" fillId="0" borderId="6" xfId="0" quotePrefix="1" applyFont="1" applyBorder="1" applyAlignment="1">
      <alignment horizontal="left"/>
    </xf>
    <xf numFmtId="0" fontId="1" fillId="0" borderId="39" xfId="0" applyFont="1" applyBorder="1"/>
    <xf numFmtId="42" fontId="1" fillId="0" borderId="39" xfId="1" applyNumberFormat="1" applyFont="1" applyBorder="1"/>
    <xf numFmtId="42" fontId="1" fillId="0" borderId="39" xfId="1" applyNumberFormat="1" applyFont="1" applyFill="1" applyBorder="1"/>
    <xf numFmtId="0" fontId="1" fillId="0" borderId="6" xfId="0" applyFont="1" applyFill="1" applyBorder="1"/>
    <xf numFmtId="42" fontId="1" fillId="0" borderId="6" xfId="1" applyNumberFormat="1" applyFont="1" applyFill="1" applyBorder="1"/>
    <xf numFmtId="164" fontId="1" fillId="0" borderId="39" xfId="1" applyNumberFormat="1" applyFont="1" applyFill="1" applyBorder="1"/>
    <xf numFmtId="164" fontId="1" fillId="0" borderId="1" xfId="1" applyNumberFormat="1" applyFont="1" applyBorder="1"/>
    <xf numFmtId="3" fontId="11" fillId="0" borderId="0" xfId="1" applyNumberFormat="1" applyFont="1" applyBorder="1" applyAlignment="1">
      <alignment horizontal="left"/>
    </xf>
    <xf numFmtId="10" fontId="1" fillId="0" borderId="0" xfId="4" applyNumberFormat="1" applyFont="1"/>
    <xf numFmtId="49" fontId="19" fillId="0" borderId="0" xfId="1" quotePrefix="1" applyNumberFormat="1" applyFont="1" applyBorder="1" applyAlignment="1">
      <alignment horizontal="left"/>
    </xf>
    <xf numFmtId="0" fontId="17" fillId="0" borderId="0" xfId="4" applyFont="1" applyAlignment="1">
      <alignment horizontal="center"/>
    </xf>
    <xf numFmtId="49" fontId="26" fillId="0" borderId="0" xfId="9" applyNumberFormat="1" applyFont="1"/>
    <xf numFmtId="10" fontId="17" fillId="0" borderId="0" xfId="4" applyNumberFormat="1" applyFont="1" applyAlignment="1">
      <alignment horizontal="center"/>
    </xf>
    <xf numFmtId="37" fontId="17" fillId="0" borderId="0" xfId="4" applyNumberFormat="1" applyFont="1" applyAlignment="1">
      <alignment horizontal="center"/>
    </xf>
    <xf numFmtId="37" fontId="1" fillId="0" borderId="0" xfId="4" applyNumberFormat="1" applyFont="1"/>
    <xf numFmtId="10" fontId="17" fillId="0" borderId="0" xfId="4" applyNumberFormat="1" applyFont="1"/>
    <xf numFmtId="37" fontId="11" fillId="0" borderId="0" xfId="4" applyNumberFormat="1" applyFont="1" applyAlignment="1">
      <alignment wrapText="1"/>
    </xf>
    <xf numFmtId="1" fontId="11" fillId="0" borderId="11" xfId="1" applyNumberFormat="1" applyFont="1" applyBorder="1" applyAlignment="1" applyProtection="1">
      <alignment horizontal="left" wrapText="1"/>
    </xf>
    <xf numFmtId="0" fontId="11" fillId="0" borderId="7" xfId="0" applyFont="1" applyBorder="1" applyAlignment="1">
      <alignment horizontal="center"/>
    </xf>
    <xf numFmtId="0" fontId="0" fillId="0" borderId="0" xfId="4" quotePrefix="1" applyFont="1" applyAlignment="1">
      <alignment horizontal="center" wrapText="1"/>
    </xf>
    <xf numFmtId="0" fontId="1" fillId="0" borderId="0" xfId="4" applyFont="1" applyAlignment="1">
      <alignment horizontal="center" wrapText="1"/>
    </xf>
    <xf numFmtId="0" fontId="1" fillId="0" borderId="39" xfId="4" applyFont="1" applyBorder="1"/>
    <xf numFmtId="37" fontId="11" fillId="0" borderId="1" xfId="4" quotePrefix="1" applyNumberFormat="1" applyFont="1" applyBorder="1" applyAlignment="1">
      <alignment horizontal="left"/>
    </xf>
    <xf numFmtId="0" fontId="1" fillId="0" borderId="1" xfId="4" applyFont="1" applyBorder="1"/>
    <xf numFmtId="164" fontId="1" fillId="0" borderId="11" xfId="1" applyNumberFormat="1" applyFont="1" applyBorder="1"/>
    <xf numFmtId="0" fontId="1" fillId="0" borderId="14" xfId="4" applyFont="1" applyBorder="1"/>
    <xf numFmtId="37" fontId="1" fillId="0" borderId="2" xfId="4" applyNumberFormat="1" applyFont="1" applyBorder="1"/>
    <xf numFmtId="165" fontId="1" fillId="0" borderId="39" xfId="2" applyNumberFormat="1" applyFont="1" applyBorder="1"/>
    <xf numFmtId="165" fontId="1" fillId="0" borderId="39" xfId="2" applyNumberFormat="1" applyFont="1" applyFill="1" applyBorder="1"/>
    <xf numFmtId="9" fontId="1" fillId="0" borderId="0" xfId="3" applyFont="1"/>
    <xf numFmtId="0" fontId="0" fillId="0" borderId="5" xfId="4" quotePrefix="1" applyFont="1" applyBorder="1" applyAlignment="1">
      <alignment horizontal="left"/>
    </xf>
    <xf numFmtId="10" fontId="1" fillId="2" borderId="0" xfId="4" applyNumberFormat="1" applyFont="1" applyFill="1"/>
    <xf numFmtId="0" fontId="11" fillId="0" borderId="9" xfId="4" applyFont="1" applyBorder="1"/>
    <xf numFmtId="165" fontId="11" fillId="0" borderId="9" xfId="4" applyNumberFormat="1" applyFont="1" applyBorder="1"/>
    <xf numFmtId="37" fontId="11" fillId="0" borderId="1" xfId="4" applyNumberFormat="1" applyFont="1" applyBorder="1" applyAlignment="1">
      <alignment horizontal="left"/>
    </xf>
    <xf numFmtId="37" fontId="1" fillId="0" borderId="2" xfId="4" applyNumberFormat="1" applyFont="1" applyFill="1" applyBorder="1"/>
    <xf numFmtId="9" fontId="1" fillId="0" borderId="6" xfId="1" applyNumberFormat="1" applyFont="1" applyBorder="1"/>
    <xf numFmtId="9" fontId="1" fillId="0" borderId="0" xfId="1" applyNumberFormat="1" applyFont="1"/>
    <xf numFmtId="168" fontId="1" fillId="0" borderId="6" xfId="1" applyNumberFormat="1" applyFont="1" applyBorder="1"/>
    <xf numFmtId="168" fontId="1" fillId="0" borderId="0" xfId="1" applyNumberFormat="1" applyFont="1"/>
    <xf numFmtId="6" fontId="28" fillId="0" borderId="0" xfId="0" applyNumberFormat="1" applyFont="1" applyAlignment="1">
      <alignment vertical="center"/>
    </xf>
    <xf numFmtId="6" fontId="1" fillId="0" borderId="0" xfId="4" applyNumberFormat="1" applyFont="1"/>
    <xf numFmtId="0" fontId="45" fillId="0" borderId="0" xfId="0" applyFont="1" applyAlignment="1">
      <alignment horizontal="right"/>
    </xf>
    <xf numFmtId="43" fontId="45" fillId="0" borderId="0" xfId="1" applyFont="1"/>
    <xf numFmtId="0" fontId="11" fillId="0" borderId="0" xfId="0" applyFont="1" applyFill="1" applyBorder="1" applyAlignment="1">
      <alignment horizontal="left"/>
    </xf>
    <xf numFmtId="0" fontId="45" fillId="0" borderId="0" xfId="0" quotePrefix="1" applyFont="1" applyAlignment="1">
      <alignment horizontal="right"/>
    </xf>
    <xf numFmtId="9" fontId="0" fillId="0" borderId="0" xfId="3" applyFont="1" applyFill="1" applyBorder="1" applyAlignment="1">
      <alignment horizontal="center"/>
    </xf>
    <xf numFmtId="38" fontId="0" fillId="0" borderId="0" xfId="0" applyNumberFormat="1" applyFont="1" applyBorder="1"/>
    <xf numFmtId="9" fontId="0" fillId="0" borderId="0" xfId="3" applyNumberFormat="1" applyFont="1" applyFill="1" applyBorder="1" applyAlignment="1">
      <alignment horizontal="center"/>
    </xf>
    <xf numFmtId="164" fontId="11" fillId="0" borderId="0" xfId="1" applyNumberFormat="1" applyFont="1" applyBorder="1" applyAlignment="1">
      <alignment horizontal="left"/>
    </xf>
    <xf numFmtId="0" fontId="11" fillId="7" borderId="11" xfId="0" applyFont="1" applyFill="1" applyBorder="1" applyAlignment="1">
      <alignment horizontal="centerContinuous"/>
    </xf>
    <xf numFmtId="0" fontId="11" fillId="7" borderId="13" xfId="0" applyFont="1" applyFill="1" applyBorder="1" applyAlignment="1">
      <alignment horizontal="centerContinuous"/>
    </xf>
    <xf numFmtId="0" fontId="11" fillId="7" borderId="14" xfId="0" applyFont="1" applyFill="1" applyBorder="1" applyAlignment="1">
      <alignment horizontal="centerContinuous"/>
    </xf>
    <xf numFmtId="0" fontId="11" fillId="0" borderId="1" xfId="0" applyFont="1" applyBorder="1" applyAlignment="1">
      <alignment horizontal="left" wrapText="1"/>
    </xf>
    <xf numFmtId="0" fontId="11" fillId="7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1" fontId="1" fillId="0" borderId="39" xfId="0" applyNumberFormat="1" applyFont="1" applyBorder="1" applyAlignment="1">
      <alignment horizontal="center" wrapText="1"/>
    </xf>
    <xf numFmtId="0" fontId="11" fillId="0" borderId="6" xfId="0" applyFont="1" applyBorder="1" applyAlignment="1">
      <alignment horizontal="left"/>
    </xf>
    <xf numFmtId="38" fontId="11" fillId="0" borderId="6" xfId="0" applyNumberFormat="1" applyFont="1" applyBorder="1"/>
    <xf numFmtId="38" fontId="11" fillId="0" borderId="6" xfId="0" applyNumberFormat="1" applyFont="1" applyFill="1" applyBorder="1"/>
    <xf numFmtId="0" fontId="24" fillId="0" borderId="0" xfId="4" applyFont="1" applyFill="1"/>
    <xf numFmtId="0" fontId="11" fillId="0" borderId="6" xfId="0" quotePrefix="1" applyFont="1" applyBorder="1" applyAlignment="1">
      <alignment horizontal="left"/>
    </xf>
    <xf numFmtId="0" fontId="1" fillId="0" borderId="39" xfId="0" quotePrefix="1" applyFont="1" applyBorder="1" applyAlignment="1">
      <alignment horizontal="left"/>
    </xf>
    <xf numFmtId="38" fontId="0" fillId="0" borderId="39" xfId="0" applyNumberFormat="1" applyFont="1" applyBorder="1"/>
    <xf numFmtId="38" fontId="0" fillId="0" borderId="39" xfId="0" applyNumberFormat="1" applyFont="1" applyFill="1" applyBorder="1"/>
    <xf numFmtId="0" fontId="19" fillId="0" borderId="6" xfId="0" applyFont="1" applyBorder="1" applyAlignment="1">
      <alignment horizontal="left"/>
    </xf>
    <xf numFmtId="38" fontId="0" fillId="0" borderId="6" xfId="0" applyNumberFormat="1" applyFont="1" applyBorder="1"/>
    <xf numFmtId="38" fontId="0" fillId="0" borderId="6" xfId="0" applyNumberFormat="1" applyFont="1" applyFill="1" applyBorder="1"/>
    <xf numFmtId="171" fontId="1" fillId="0" borderId="6" xfId="1" applyNumberFormat="1" applyFont="1" applyFill="1" applyBorder="1"/>
    <xf numFmtId="43" fontId="1" fillId="0" borderId="6" xfId="1" applyFont="1" applyFill="1" applyBorder="1"/>
    <xf numFmtId="38" fontId="1" fillId="0" borderId="6" xfId="0" applyNumberFormat="1" applyFont="1" applyBorder="1"/>
    <xf numFmtId="40" fontId="1" fillId="0" borderId="6" xfId="0" applyNumberFormat="1" applyFont="1" applyBorder="1"/>
    <xf numFmtId="40" fontId="1" fillId="0" borderId="6" xfId="0" applyNumberFormat="1" applyFont="1" applyFill="1" applyBorder="1"/>
    <xf numFmtId="38" fontId="1" fillId="0" borderId="6" xfId="0" applyNumberFormat="1" applyFont="1" applyFill="1" applyBorder="1"/>
    <xf numFmtId="43" fontId="1" fillId="0" borderId="6" xfId="1" applyFont="1" applyBorder="1"/>
    <xf numFmtId="0" fontId="11" fillId="0" borderId="39" xfId="0" applyFont="1" applyBorder="1"/>
    <xf numFmtId="38" fontId="11" fillId="0" borderId="39" xfId="0" applyNumberFormat="1" applyFont="1" applyBorder="1"/>
    <xf numFmtId="164" fontId="11" fillId="0" borderId="39" xfId="1" applyNumberFormat="1" applyFont="1" applyFill="1" applyBorder="1"/>
    <xf numFmtId="43" fontId="11" fillId="0" borderId="39" xfId="1" applyFont="1" applyFill="1" applyBorder="1"/>
    <xf numFmtId="0" fontId="11" fillId="0" borderId="6" xfId="0" applyFont="1" applyBorder="1"/>
    <xf numFmtId="38" fontId="11" fillId="11" borderId="6" xfId="0" applyNumberFormat="1" applyFont="1" applyFill="1" applyBorder="1"/>
    <xf numFmtId="43" fontId="11" fillId="0" borderId="6" xfId="1" applyFont="1" applyBorder="1"/>
    <xf numFmtId="43" fontId="11" fillId="0" borderId="6" xfId="1" applyFont="1" applyFill="1" applyBorder="1"/>
    <xf numFmtId="43" fontId="1" fillId="0" borderId="6" xfId="1" applyNumberFormat="1" applyFont="1" applyFill="1" applyBorder="1"/>
    <xf numFmtId="40" fontId="0" fillId="0" borderId="6" xfId="0" applyNumberFormat="1" applyFont="1" applyBorder="1"/>
    <xf numFmtId="40" fontId="0" fillId="0" borderId="6" xfId="0" applyNumberFormat="1" applyFont="1" applyFill="1" applyBorder="1"/>
    <xf numFmtId="164" fontId="11" fillId="0" borderId="6" xfId="1" applyNumberFormat="1" applyFont="1" applyFill="1" applyBorder="1"/>
    <xf numFmtId="164" fontId="11" fillId="0" borderId="6" xfId="1" applyNumberFormat="1" applyFont="1" applyBorder="1"/>
    <xf numFmtId="38" fontId="11" fillId="11" borderId="39" xfId="0" applyNumberFormat="1" applyFont="1" applyFill="1" applyBorder="1"/>
    <xf numFmtId="164" fontId="11" fillId="0" borderId="39" xfId="1" applyNumberFormat="1" applyFont="1" applyBorder="1"/>
    <xf numFmtId="0" fontId="0" fillId="0" borderId="6" xfId="0" quotePrefix="1" applyBorder="1" applyAlignment="1">
      <alignment horizontal="left"/>
    </xf>
    <xf numFmtId="44" fontId="1" fillId="0" borderId="6" xfId="0" applyNumberFormat="1" applyFont="1" applyFill="1" applyBorder="1"/>
    <xf numFmtId="0" fontId="11" fillId="0" borderId="39" xfId="0" quotePrefix="1" applyFont="1" applyBorder="1" applyAlignment="1">
      <alignment horizontal="left"/>
    </xf>
    <xf numFmtId="165" fontId="11" fillId="0" borderId="39" xfId="2" applyNumberFormat="1" applyFont="1" applyBorder="1"/>
    <xf numFmtId="165" fontId="11" fillId="0" borderId="39" xfId="2" applyNumberFormat="1" applyFont="1" applyFill="1" applyBorder="1"/>
    <xf numFmtId="165" fontId="11" fillId="0" borderId="6" xfId="2" applyNumberFormat="1" applyFont="1" applyBorder="1"/>
    <xf numFmtId="0" fontId="19" fillId="0" borderId="6" xfId="0" quotePrefix="1" applyFont="1" applyBorder="1" applyAlignment="1">
      <alignment horizontal="left"/>
    </xf>
    <xf numFmtId="171" fontId="0" fillId="0" borderId="6" xfId="0" applyNumberFormat="1" applyFont="1" applyFill="1" applyBorder="1"/>
    <xf numFmtId="164" fontId="0" fillId="0" borderId="6" xfId="0" applyNumberFormat="1" applyFont="1" applyFill="1" applyBorder="1"/>
    <xf numFmtId="43" fontId="0" fillId="0" borderId="6" xfId="1" applyFont="1" applyBorder="1"/>
    <xf numFmtId="43" fontId="1" fillId="0" borderId="6" xfId="1" applyNumberFormat="1" applyFont="1" applyBorder="1"/>
    <xf numFmtId="38" fontId="11" fillId="0" borderId="39" xfId="0" applyNumberFormat="1" applyFont="1" applyFill="1" applyBorder="1"/>
    <xf numFmtId="40" fontId="11" fillId="0" borderId="6" xfId="0" applyNumberFormat="1" applyFont="1" applyBorder="1"/>
    <xf numFmtId="40" fontId="11" fillId="0" borderId="6" xfId="0" applyNumberFormat="1" applyFont="1" applyFill="1" applyBorder="1"/>
    <xf numFmtId="178" fontId="1" fillId="0" borderId="6" xfId="0" applyNumberFormat="1" applyFont="1" applyBorder="1"/>
    <xf numFmtId="44" fontId="1" fillId="0" borderId="6" xfId="2" applyNumberFormat="1" applyFont="1" applyFill="1" applyBorder="1"/>
    <xf numFmtId="6" fontId="1" fillId="0" borderId="6" xfId="0" applyNumberFormat="1" applyFont="1" applyBorder="1"/>
    <xf numFmtId="6" fontId="1" fillId="0" borderId="6" xfId="0" applyNumberFormat="1" applyFont="1" applyFill="1" applyBorder="1"/>
    <xf numFmtId="38" fontId="11" fillId="0" borderId="9" xfId="0" applyNumberFormat="1" applyFont="1" applyBorder="1"/>
    <xf numFmtId="38" fontId="11" fillId="0" borderId="9" xfId="0" applyNumberFormat="1" applyFont="1" applyFill="1" applyBorder="1"/>
    <xf numFmtId="38" fontId="1" fillId="0" borderId="39" xfId="0" applyNumberFormat="1" applyFont="1" applyBorder="1"/>
    <xf numFmtId="38" fontId="1" fillId="0" borderId="39" xfId="0" applyNumberFormat="1" applyFont="1" applyFill="1" applyBorder="1"/>
    <xf numFmtId="165" fontId="11" fillId="0" borderId="1" xfId="2" applyNumberFormat="1" applyFont="1" applyBorder="1"/>
    <xf numFmtId="6" fontId="11" fillId="0" borderId="42" xfId="0" applyNumberFormat="1" applyFont="1" applyBorder="1"/>
    <xf numFmtId="6" fontId="11" fillId="0" borderId="39" xfId="0" applyNumberFormat="1" applyFont="1" applyBorder="1"/>
    <xf numFmtId="0" fontId="11" fillId="0" borderId="42" xfId="0" applyFont="1" applyBorder="1"/>
    <xf numFmtId="0" fontId="11" fillId="0" borderId="6" xfId="0" applyFont="1" applyFill="1" applyBorder="1"/>
    <xf numFmtId="165" fontId="11" fillId="0" borderId="1" xfId="0" applyNumberFormat="1" applyFont="1" applyBorder="1"/>
    <xf numFmtId="6" fontId="11" fillId="0" borderId="6" xfId="0" applyNumberFormat="1" applyFont="1" applyBorder="1"/>
    <xf numFmtId="6" fontId="11" fillId="0" borderId="6" xfId="0" applyNumberFormat="1" applyFont="1" applyFill="1" applyBorder="1"/>
    <xf numFmtId="0" fontId="11" fillId="0" borderId="1" xfId="0" quotePrefix="1" applyFont="1" applyBorder="1" applyAlignment="1">
      <alignment horizontal="left"/>
    </xf>
    <xf numFmtId="38" fontId="22" fillId="0" borderId="6" xfId="0" applyNumberFormat="1" applyFont="1" applyFill="1" applyBorder="1"/>
    <xf numFmtId="44" fontId="0" fillId="0" borderId="6" xfId="0" applyNumberFormat="1" applyFont="1" applyBorder="1"/>
    <xf numFmtId="0" fontId="11" fillId="0" borderId="5" xfId="0" applyFont="1" applyBorder="1"/>
    <xf numFmtId="6" fontId="11" fillId="0" borderId="5" xfId="0" applyNumberFormat="1" applyFont="1" applyFill="1" applyBorder="1"/>
    <xf numFmtId="6" fontId="11" fillId="0" borderId="42" xfId="0" applyNumberFormat="1" applyFont="1" applyFill="1" applyBorder="1"/>
    <xf numFmtId="6" fontId="11" fillId="0" borderId="2" xfId="0" applyNumberFormat="1" applyFont="1" applyFill="1" applyBorder="1"/>
    <xf numFmtId="6" fontId="11" fillId="0" borderId="12" xfId="0" applyNumberFormat="1" applyFont="1" applyBorder="1"/>
    <xf numFmtId="6" fontId="11" fillId="0" borderId="14" xfId="0" applyNumberFormat="1" applyFont="1" applyBorder="1"/>
    <xf numFmtId="44" fontId="0" fillId="0" borderId="5" xfId="0" applyNumberFormat="1" applyFont="1" applyFill="1" applyBorder="1"/>
    <xf numFmtId="44" fontId="0" fillId="0" borderId="9" xfId="0" applyNumberFormat="1" applyFont="1" applyFill="1" applyBorder="1"/>
    <xf numFmtId="44" fontId="0" fillId="0" borderId="22" xfId="0" applyNumberFormat="1" applyFont="1" applyBorder="1"/>
    <xf numFmtId="165" fontId="0" fillId="0" borderId="6" xfId="0" applyNumberFormat="1" applyFont="1" applyBorder="1"/>
    <xf numFmtId="165" fontId="0" fillId="0" borderId="6" xfId="0" applyNumberFormat="1" applyFont="1" applyFill="1" applyBorder="1"/>
    <xf numFmtId="41" fontId="0" fillId="0" borderId="6" xfId="0" applyNumberFormat="1" applyFont="1" applyBorder="1"/>
    <xf numFmtId="0" fontId="11" fillId="0" borderId="9" xfId="0" applyFont="1" applyBorder="1"/>
    <xf numFmtId="165" fontId="11" fillId="0" borderId="9" xfId="0" applyNumberFormat="1" applyFont="1" applyBorder="1"/>
    <xf numFmtId="43" fontId="0" fillId="0" borderId="0" xfId="0" applyNumberFormat="1" applyFont="1"/>
    <xf numFmtId="0" fontId="11" fillId="8" borderId="14" xfId="0" applyFont="1" applyFill="1" applyBorder="1" applyAlignment="1">
      <alignment horizontal="center"/>
    </xf>
    <xf numFmtId="0" fontId="11" fillId="0" borderId="45" xfId="0" applyFont="1" applyBorder="1"/>
    <xf numFmtId="0" fontId="11" fillId="0" borderId="5" xfId="0" quotePrefix="1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2" fontId="1" fillId="0" borderId="6" xfId="0" applyNumberFormat="1" applyFont="1" applyBorder="1"/>
    <xf numFmtId="179" fontId="1" fillId="0" borderId="6" xfId="0" applyNumberFormat="1" applyFont="1" applyBorder="1"/>
    <xf numFmtId="38" fontId="1" fillId="0" borderId="0" xfId="0" applyNumberFormat="1" applyFont="1" applyFill="1" applyBorder="1"/>
    <xf numFmtId="44" fontId="1" fillId="0" borderId="9" xfId="2" applyFont="1" applyBorder="1"/>
    <xf numFmtId="44" fontId="1" fillId="0" borderId="9" xfId="2" applyFont="1" applyFill="1" applyBorder="1"/>
    <xf numFmtId="0" fontId="11" fillId="0" borderId="2" xfId="0" quotePrefix="1" applyFont="1" applyBorder="1" applyAlignment="1">
      <alignment horizontal="left"/>
    </xf>
    <xf numFmtId="165" fontId="11" fillId="0" borderId="42" xfId="2" applyNumberFormat="1" applyFont="1" applyBorder="1"/>
    <xf numFmtId="164" fontId="1" fillId="0" borderId="44" xfId="0" applyNumberFormat="1" applyFont="1" applyBorder="1"/>
    <xf numFmtId="0" fontId="1" fillId="0" borderId="44" xfId="0" applyFont="1" applyBorder="1"/>
    <xf numFmtId="0" fontId="1" fillId="0" borderId="45" xfId="0" applyFont="1" applyBorder="1"/>
    <xf numFmtId="0" fontId="11" fillId="0" borderId="46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164" fontId="11" fillId="0" borderId="47" xfId="1" applyNumberFormat="1" applyFont="1" applyFill="1" applyBorder="1"/>
    <xf numFmtId="164" fontId="11" fillId="0" borderId="47" xfId="1" applyNumberFormat="1" applyFont="1" applyBorder="1"/>
    <xf numFmtId="0" fontId="11" fillId="0" borderId="39" xfId="0" applyFont="1" applyBorder="1" applyAlignment="1">
      <alignment horizontal="left"/>
    </xf>
    <xf numFmtId="2" fontId="1" fillId="0" borderId="6" xfId="0" applyNumberFormat="1" applyFont="1" applyFill="1" applyBorder="1"/>
    <xf numFmtId="0" fontId="1" fillId="0" borderId="43" xfId="0" applyFont="1" applyBorder="1"/>
    <xf numFmtId="44" fontId="1" fillId="0" borderId="48" xfId="2" applyFont="1" applyBorder="1"/>
    <xf numFmtId="44" fontId="1" fillId="0" borderId="48" xfId="2" applyFont="1" applyFill="1" applyBorder="1"/>
    <xf numFmtId="44" fontId="1" fillId="0" borderId="49" xfId="2" applyFont="1" applyBorder="1"/>
    <xf numFmtId="0" fontId="11" fillId="0" borderId="30" xfId="0" quotePrefix="1" applyFont="1" applyBorder="1" applyAlignment="1">
      <alignment horizontal="left"/>
    </xf>
    <xf numFmtId="165" fontId="11" fillId="0" borderId="50" xfId="2" applyNumberFormat="1" applyFont="1" applyBorder="1"/>
    <xf numFmtId="165" fontId="11" fillId="0" borderId="51" xfId="2" applyNumberFormat="1" applyFont="1" applyBorder="1"/>
    <xf numFmtId="165" fontId="11" fillId="0" borderId="52" xfId="2" applyNumberFormat="1" applyFont="1" applyBorder="1"/>
    <xf numFmtId="0" fontId="11" fillId="0" borderId="43" xfId="0" quotePrefix="1" applyFont="1" applyBorder="1" applyAlignment="1">
      <alignment horizontal="left"/>
    </xf>
    <xf numFmtId="164" fontId="11" fillId="0" borderId="22" xfId="1" applyNumberFormat="1" applyFont="1" applyBorder="1"/>
    <xf numFmtId="0" fontId="1" fillId="0" borderId="30" xfId="0" quotePrefix="1" applyFont="1" applyBorder="1" applyAlignment="1">
      <alignment horizontal="left"/>
    </xf>
    <xf numFmtId="6" fontId="1" fillId="0" borderId="22" xfId="0" applyNumberFormat="1" applyFont="1" applyBorder="1"/>
    <xf numFmtId="6" fontId="1" fillId="0" borderId="39" xfId="0" applyNumberFormat="1" applyFont="1" applyBorder="1"/>
    <xf numFmtId="6" fontId="1" fillId="0" borderId="12" xfId="0" applyNumberFormat="1" applyFont="1" applyBorder="1"/>
    <xf numFmtId="165" fontId="11" fillId="0" borderId="53" xfId="0" applyNumberFormat="1" applyFont="1" applyBorder="1"/>
    <xf numFmtId="49" fontId="19" fillId="0" borderId="0" xfId="1" applyNumberFormat="1" applyFont="1" applyBorder="1" applyAlignment="1">
      <alignment horizontal="left"/>
    </xf>
    <xf numFmtId="164" fontId="17" fillId="0" borderId="0" xfId="1" applyNumberFormat="1" applyFont="1" applyAlignment="1">
      <alignment horizontal="center"/>
    </xf>
    <xf numFmtId="3" fontId="18" fillId="0" borderId="0" xfId="0" applyNumberFormat="1" applyFont="1" applyBorder="1"/>
    <xf numFmtId="168" fontId="17" fillId="0" borderId="0" xfId="3" applyNumberFormat="1" applyFont="1"/>
    <xf numFmtId="0" fontId="11" fillId="7" borderId="9" xfId="0" applyFont="1" applyFill="1" applyBorder="1" applyAlignment="1">
      <alignment horizontal="right"/>
    </xf>
    <xf numFmtId="164" fontId="1" fillId="0" borderId="2" xfId="1" quotePrefix="1" applyNumberFormat="1" applyFont="1" applyBorder="1" applyAlignment="1">
      <alignment horizontal="left"/>
    </xf>
    <xf numFmtId="42" fontId="11" fillId="0" borderId="9" xfId="1" applyNumberFormat="1" applyFont="1" applyBorder="1"/>
    <xf numFmtId="180" fontId="1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1" fillId="0" borderId="2" xfId="0" applyNumberFormat="1" applyFont="1" applyFill="1" applyBorder="1" applyAlignment="1">
      <alignment horizontal="left"/>
    </xf>
    <xf numFmtId="0" fontId="11" fillId="0" borderId="9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 wrapText="1"/>
    </xf>
    <xf numFmtId="0" fontId="11" fillId="0" borderId="30" xfId="0" applyNumberFormat="1" applyFont="1" applyFill="1" applyBorder="1"/>
    <xf numFmtId="0" fontId="1" fillId="0" borderId="6" xfId="0" applyNumberFormat="1" applyFont="1" applyFill="1" applyBorder="1"/>
    <xf numFmtId="0" fontId="1" fillId="0" borderId="30" xfId="0" applyNumberFormat="1" applyFont="1" applyFill="1" applyBorder="1"/>
    <xf numFmtId="181" fontId="42" fillId="0" borderId="6" xfId="0" applyNumberFormat="1" applyFont="1" applyFill="1" applyBorder="1"/>
    <xf numFmtId="0" fontId="0" fillId="0" borderId="30" xfId="0" applyNumberFormat="1" applyFont="1" applyFill="1" applyBorder="1"/>
    <xf numFmtId="0" fontId="0" fillId="0" borderId="30" xfId="0" quotePrefix="1" applyNumberFormat="1" applyFont="1" applyFill="1" applyBorder="1" applyAlignment="1">
      <alignment horizontal="left"/>
    </xf>
    <xf numFmtId="0" fontId="0" fillId="0" borderId="2" xfId="0" applyNumberFormat="1" applyFont="1" applyFill="1" applyBorder="1"/>
    <xf numFmtId="164" fontId="0" fillId="0" borderId="39" xfId="1" applyNumberFormat="1" applyFont="1" applyFill="1" applyBorder="1"/>
    <xf numFmtId="0" fontId="0" fillId="0" borderId="30" xfId="0" applyNumberFormat="1" applyFont="1" applyFill="1" applyBorder="1" applyAlignment="1">
      <alignment horizontal="left"/>
    </xf>
    <xf numFmtId="0" fontId="0" fillId="0" borderId="2" xfId="0" quotePrefix="1" applyNumberFormat="1" applyFont="1" applyFill="1" applyBorder="1" applyAlignment="1">
      <alignment horizontal="left"/>
    </xf>
    <xf numFmtId="182" fontId="0" fillId="0" borderId="39" xfId="0" applyNumberFormat="1" applyFont="1" applyFill="1" applyBorder="1"/>
    <xf numFmtId="0" fontId="0" fillId="0" borderId="39" xfId="0" applyNumberFormat="1" applyFont="1" applyFill="1" applyBorder="1"/>
    <xf numFmtId="0" fontId="11" fillId="0" borderId="30" xfId="0" applyNumberFormat="1" applyFont="1" applyFill="1" applyBorder="1" applyAlignment="1">
      <alignment horizontal="left"/>
    </xf>
    <xf numFmtId="166" fontId="0" fillId="0" borderId="6" xfId="0" applyNumberFormat="1" applyFont="1" applyFill="1" applyBorder="1"/>
    <xf numFmtId="0" fontId="0" fillId="0" borderId="6" xfId="0" applyNumberFormat="1" applyFont="1" applyFill="1" applyBorder="1"/>
    <xf numFmtId="183" fontId="0" fillId="0" borderId="6" xfId="2" applyNumberFormat="1" applyFont="1" applyFill="1" applyBorder="1"/>
    <xf numFmtId="44" fontId="0" fillId="0" borderId="6" xfId="2" applyNumberFormat="1" applyFont="1" applyFill="1" applyBorder="1"/>
    <xf numFmtId="184" fontId="0" fillId="0" borderId="6" xfId="2" applyNumberFormat="1" applyFont="1" applyFill="1" applyBorder="1"/>
    <xf numFmtId="41" fontId="0" fillId="0" borderId="6" xfId="2" applyNumberFormat="1" applyFont="1" applyFill="1" applyBorder="1"/>
    <xf numFmtId="165" fontId="0" fillId="0" borderId="39" xfId="2" applyNumberFormat="1" applyFont="1" applyFill="1" applyBorder="1"/>
    <xf numFmtId="0" fontId="11" fillId="0" borderId="30" xfId="0" quotePrefix="1" applyNumberFormat="1" applyFont="1" applyFill="1" applyBorder="1" applyAlignment="1">
      <alignment horizontal="left"/>
    </xf>
    <xf numFmtId="0" fontId="11" fillId="0" borderId="42" xfId="0" applyNumberFormat="1" applyFont="1" applyFill="1" applyBorder="1" applyAlignment="1">
      <alignment horizontal="center"/>
    </xf>
    <xf numFmtId="1" fontId="11" fillId="0" borderId="42" xfId="0" applyNumberFormat="1" applyFont="1" applyFill="1" applyBorder="1" applyAlignment="1">
      <alignment horizontal="center" wrapText="1"/>
    </xf>
    <xf numFmtId="181" fontId="0" fillId="0" borderId="6" xfId="0" applyNumberFormat="1" applyFont="1" applyFill="1" applyBorder="1"/>
    <xf numFmtId="0" fontId="0" fillId="0" borderId="39" xfId="0" quotePrefix="1" applyNumberFormat="1" applyFont="1" applyFill="1" applyBorder="1" applyAlignment="1">
      <alignment horizontal="left"/>
    </xf>
    <xf numFmtId="182" fontId="0" fillId="0" borderId="6" xfId="0" applyNumberFormat="1" applyFont="1" applyFill="1" applyBorder="1"/>
    <xf numFmtId="169" fontId="0" fillId="0" borderId="6" xfId="0" applyNumberFormat="1" applyFont="1" applyFill="1" applyBorder="1"/>
    <xf numFmtId="168" fontId="0" fillId="0" borderId="6" xfId="3" applyNumberFormat="1" applyFont="1" applyFill="1" applyBorder="1"/>
    <xf numFmtId="184" fontId="0" fillId="0" borderId="39" xfId="2" applyNumberFormat="1" applyFont="1" applyFill="1" applyBorder="1"/>
    <xf numFmtId="0" fontId="0" fillId="0" borderId="43" xfId="0" applyNumberFormat="1" applyFont="1" applyFill="1" applyBorder="1"/>
    <xf numFmtId="41" fontId="0" fillId="0" borderId="9" xfId="2" applyNumberFormat="1" applyFont="1" applyFill="1" applyBorder="1"/>
    <xf numFmtId="0" fontId="0" fillId="0" borderId="42" xfId="0" applyNumberFormat="1" applyFont="1" applyFill="1" applyBorder="1"/>
    <xf numFmtId="0" fontId="0" fillId="0" borderId="42" xfId="0" quotePrefix="1" applyNumberFormat="1" applyFont="1" applyFill="1" applyBorder="1" applyAlignment="1">
      <alignment horizontal="left"/>
    </xf>
    <xf numFmtId="0" fontId="11" fillId="0" borderId="43" xfId="0" applyFont="1" applyBorder="1"/>
    <xf numFmtId="0" fontId="1" fillId="0" borderId="0" xfId="18" quotePrefix="1" applyFont="1" applyFill="1" applyBorder="1" applyAlignment="1">
      <alignment horizontal="right" vertical="center"/>
    </xf>
    <xf numFmtId="49" fontId="0" fillId="0" borderId="0" xfId="1" quotePrefix="1" applyNumberFormat="1" applyFont="1" applyBorder="1" applyAlignment="1">
      <alignment horizontal="left"/>
    </xf>
    <xf numFmtId="37" fontId="17" fillId="0" borderId="0" xfId="4" applyNumberFormat="1" applyFont="1" applyAlignment="1">
      <alignment wrapText="1"/>
    </xf>
    <xf numFmtId="1" fontId="11" fillId="0" borderId="1" xfId="1" applyNumberFormat="1" applyFont="1" applyBorder="1" applyAlignment="1" applyProtection="1">
      <alignment horizontal="left" wrapText="1"/>
    </xf>
    <xf numFmtId="1" fontId="11" fillId="0" borderId="9" xfId="1" applyNumberFormat="1" applyFont="1" applyBorder="1" applyAlignment="1" applyProtection="1">
      <alignment horizontal="center" wrapText="1"/>
    </xf>
    <xf numFmtId="165" fontId="16" fillId="0" borderId="39" xfId="2" applyNumberFormat="1" applyFont="1" applyFill="1" applyBorder="1"/>
    <xf numFmtId="42" fontId="1" fillId="0" borderId="0" xfId="1" applyNumberFormat="1" applyFont="1" applyFill="1" applyBorder="1"/>
    <xf numFmtId="0" fontId="1" fillId="0" borderId="30" xfId="4" applyFont="1" applyBorder="1"/>
    <xf numFmtId="37" fontId="1" fillId="0" borderId="30" xfId="4" applyNumberFormat="1" applyFont="1" applyBorder="1"/>
    <xf numFmtId="165" fontId="22" fillId="0" borderId="9" xfId="4" applyNumberFormat="1" applyFont="1" applyBorder="1"/>
    <xf numFmtId="164" fontId="23" fillId="0" borderId="0" xfId="1" applyNumberFormat="1" applyFont="1" applyBorder="1"/>
    <xf numFmtId="164" fontId="1" fillId="0" borderId="42" xfId="1" applyNumberFormat="1" applyFont="1" applyFill="1" applyBorder="1"/>
    <xf numFmtId="0" fontId="0" fillId="0" borderId="0" xfId="1" quotePrefix="1" applyNumberFormat="1" applyFont="1" applyBorder="1" applyAlignment="1">
      <alignment horizontal="left"/>
    </xf>
    <xf numFmtId="0" fontId="1" fillId="0" borderId="0" xfId="1" quotePrefix="1" applyNumberFormat="1" applyFont="1" applyBorder="1" applyAlignment="1">
      <alignment horizontal="left"/>
    </xf>
    <xf numFmtId="0" fontId="19" fillId="0" borderId="0" xfId="1" quotePrefix="1" applyNumberFormat="1" applyFont="1" applyBorder="1" applyAlignment="1">
      <alignment horizontal="left"/>
    </xf>
    <xf numFmtId="10" fontId="17" fillId="0" borderId="0" xfId="4" applyNumberFormat="1" applyFont="1" applyFill="1" applyAlignment="1">
      <alignment horizontal="center"/>
    </xf>
    <xf numFmtId="0" fontId="11" fillId="0" borderId="11" xfId="4" applyFont="1" applyFill="1" applyBorder="1" applyAlignment="1"/>
    <xf numFmtId="0" fontId="11" fillId="0" borderId="0" xfId="0" applyFont="1" applyBorder="1" applyAlignment="1">
      <alignment horizontal="center" wrapText="1"/>
    </xf>
    <xf numFmtId="0" fontId="11" fillId="0" borderId="9" xfId="4" applyFont="1" applyFill="1" applyBorder="1" applyAlignment="1"/>
    <xf numFmtId="0" fontId="19" fillId="0" borderId="39" xfId="4" applyFont="1" applyFill="1" applyBorder="1" applyAlignment="1"/>
    <xf numFmtId="0" fontId="11" fillId="0" borderId="39" xfId="4" applyFont="1" applyFill="1" applyBorder="1" applyAlignment="1"/>
    <xf numFmtId="37" fontId="1" fillId="0" borderId="39" xfId="4" quotePrefix="1" applyNumberFormat="1" applyFont="1" applyFill="1" applyBorder="1" applyAlignment="1">
      <alignment horizontal="center" wrapText="1"/>
    </xf>
    <xf numFmtId="37" fontId="1" fillId="0" borderId="0" xfId="0" quotePrefix="1" applyNumberFormat="1" applyFont="1" applyBorder="1" applyAlignment="1">
      <alignment horizontal="center" wrapText="1"/>
    </xf>
    <xf numFmtId="7" fontId="1" fillId="0" borderId="6" xfId="4" applyNumberFormat="1" applyFont="1" applyFill="1" applyBorder="1" applyAlignment="1">
      <alignment horizontal="left"/>
    </xf>
    <xf numFmtId="7" fontId="1" fillId="0" borderId="30" xfId="4" applyNumberFormat="1" applyFont="1" applyFill="1" applyBorder="1" applyAlignment="1">
      <alignment horizontal="left"/>
    </xf>
    <xf numFmtId="41" fontId="1" fillId="0" borderId="6" xfId="19" applyFont="1" applyFill="1" applyBorder="1"/>
    <xf numFmtId="164" fontId="1" fillId="0" borderId="6" xfId="4" applyNumberFormat="1" applyFont="1" applyFill="1" applyBorder="1"/>
    <xf numFmtId="42" fontId="1" fillId="0" borderId="0" xfId="16" quotePrefix="1" applyFont="1" applyBorder="1" applyAlignment="1">
      <alignment horizontal="center" wrapText="1"/>
    </xf>
    <xf numFmtId="41" fontId="1" fillId="0" borderId="0" xfId="16" quotePrefix="1" applyNumberFormat="1" applyFont="1" applyBorder="1" applyAlignment="1">
      <alignment horizontal="center" wrapText="1"/>
    </xf>
    <xf numFmtId="7" fontId="1" fillId="0" borderId="2" xfId="4" quotePrefix="1" applyNumberFormat="1" applyFont="1" applyFill="1" applyBorder="1" applyAlignment="1">
      <alignment horizontal="left"/>
    </xf>
    <xf numFmtId="43" fontId="1" fillId="0" borderId="39" xfId="1" quotePrefix="1" applyFont="1" applyFill="1" applyBorder="1" applyAlignment="1">
      <alignment horizontal="left"/>
    </xf>
    <xf numFmtId="7" fontId="1" fillId="0" borderId="0" xfId="0" applyNumberFormat="1" applyFont="1" applyBorder="1" applyAlignment="1">
      <alignment horizontal="left"/>
    </xf>
    <xf numFmtId="7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/>
    <xf numFmtId="165" fontId="11" fillId="0" borderId="0" xfId="2" quotePrefix="1" applyNumberFormat="1" applyFont="1" applyBorder="1" applyAlignment="1">
      <alignment horizontal="center" wrapText="1"/>
    </xf>
    <xf numFmtId="0" fontId="46" fillId="0" borderId="0" xfId="0" quotePrefix="1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3" fontId="49" fillId="0" borderId="0" xfId="0" quotePrefix="1" applyNumberFormat="1" applyFont="1" applyFill="1" applyBorder="1" applyAlignment="1">
      <alignment horizontal="left"/>
    </xf>
    <xf numFmtId="3" fontId="11" fillId="0" borderId="45" xfId="0" applyNumberFormat="1" applyFont="1" applyFill="1" applyBorder="1" applyAlignment="1">
      <alignment wrapText="1" shrinkToFit="1"/>
    </xf>
    <xf numFmtId="3" fontId="1" fillId="0" borderId="30" xfId="0" applyNumberFormat="1" applyFont="1" applyFill="1" applyBorder="1" applyAlignment="1">
      <alignment horizontal="left"/>
    </xf>
    <xf numFmtId="3" fontId="11" fillId="0" borderId="30" xfId="0" quotePrefix="1" applyNumberFormat="1" applyFont="1" applyFill="1" applyBorder="1" applyAlignment="1">
      <alignment horizontal="left"/>
    </xf>
    <xf numFmtId="3" fontId="1" fillId="0" borderId="30" xfId="0" applyNumberFormat="1" applyFont="1" applyFill="1" applyBorder="1"/>
    <xf numFmtId="3" fontId="1" fillId="0" borderId="2" xfId="0" quotePrefix="1" applyNumberFormat="1" applyFont="1" applyFill="1" applyBorder="1"/>
    <xf numFmtId="3" fontId="1" fillId="0" borderId="39" xfId="0" applyNumberFormat="1" applyFont="1" applyFill="1" applyBorder="1"/>
    <xf numFmtId="3" fontId="11" fillId="0" borderId="43" xfId="2" quotePrefix="1" applyNumberFormat="1" applyFont="1" applyFill="1" applyBorder="1" applyAlignment="1">
      <alignment horizontal="left"/>
    </xf>
    <xf numFmtId="41" fontId="1" fillId="0" borderId="39" xfId="0" applyNumberFormat="1" applyFont="1" applyFill="1" applyBorder="1"/>
    <xf numFmtId="3" fontId="0" fillId="0" borderId="30" xfId="0" applyNumberFormat="1" applyFont="1" applyBorder="1"/>
    <xf numFmtId="41" fontId="1" fillId="0" borderId="39" xfId="1" applyNumberFormat="1" applyFont="1" applyFill="1" applyBorder="1"/>
    <xf numFmtId="3" fontId="11" fillId="0" borderId="43" xfId="2" applyNumberFormat="1" applyFont="1" applyFill="1" applyBorder="1"/>
    <xf numFmtId="3" fontId="11" fillId="0" borderId="30" xfId="0" applyNumberFormat="1" applyFont="1" applyFill="1" applyBorder="1" applyAlignment="1">
      <alignment horizontal="left"/>
    </xf>
    <xf numFmtId="3" fontId="20" fillId="0" borderId="43" xfId="0" applyNumberFormat="1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1" fillId="0" borderId="30" xfId="0" applyFont="1" applyFill="1" applyBorder="1"/>
    <xf numFmtId="0" fontId="0" fillId="0" borderId="30" xfId="0" applyFill="1" applyBorder="1" applyAlignment="1">
      <alignment horizontal="left"/>
    </xf>
    <xf numFmtId="0" fontId="22" fillId="0" borderId="30" xfId="0" quotePrefix="1" applyFont="1" applyFill="1" applyBorder="1" applyAlignment="1">
      <alignment horizontal="left"/>
    </xf>
    <xf numFmtId="0" fontId="1" fillId="0" borderId="39" xfId="0" applyFont="1" applyFill="1" applyBorder="1"/>
    <xf numFmtId="3" fontId="22" fillId="0" borderId="43" xfId="2" quotePrefix="1" applyNumberFormat="1" applyFont="1" applyFill="1" applyBorder="1" applyAlignment="1">
      <alignment horizontal="left"/>
    </xf>
    <xf numFmtId="3" fontId="13" fillId="0" borderId="0" xfId="0" quotePrefix="1" applyNumberFormat="1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1" xfId="0" quotePrefix="1" applyFont="1" applyFill="1" applyBorder="1" applyAlignment="1">
      <alignment horizontal="center" wrapText="1"/>
    </xf>
    <xf numFmtId="165" fontId="1" fillId="0" borderId="1" xfId="2" applyNumberFormat="1" applyFont="1" applyFill="1" applyBorder="1"/>
    <xf numFmtId="4" fontId="52" fillId="0" borderId="0" xfId="0" applyNumberFormat="1" applyFont="1" applyAlignment="1">
      <alignment vertical="center"/>
    </xf>
    <xf numFmtId="0" fontId="22" fillId="0" borderId="45" xfId="5" applyFont="1" applyBorder="1" applyAlignment="1">
      <alignment horizontal="center"/>
    </xf>
    <xf numFmtId="37" fontId="31" fillId="0" borderId="39" xfId="5" applyNumberFormat="1" applyFont="1" applyBorder="1"/>
    <xf numFmtId="37" fontId="16" fillId="0" borderId="39" xfId="5" applyNumberFormat="1" applyFont="1" applyBorder="1"/>
    <xf numFmtId="0" fontId="16" fillId="0" borderId="39" xfId="5" applyFont="1" applyBorder="1"/>
    <xf numFmtId="0" fontId="22" fillId="0" borderId="39" xfId="5" applyFont="1" applyBorder="1"/>
    <xf numFmtId="37" fontId="22" fillId="0" borderId="39" xfId="5" applyNumberFormat="1" applyFont="1" applyBorder="1"/>
    <xf numFmtId="43" fontId="16" fillId="0" borderId="0" xfId="1" applyFont="1"/>
    <xf numFmtId="165" fontId="22" fillId="5" borderId="1" xfId="2" applyNumberFormat="1" applyFont="1" applyFill="1" applyBorder="1"/>
    <xf numFmtId="3" fontId="11" fillId="0" borderId="0" xfId="0" applyNumberFormat="1" applyFont="1"/>
    <xf numFmtId="3" fontId="0" fillId="0" borderId="0" xfId="0" applyNumberFormat="1"/>
    <xf numFmtId="0" fontId="0" fillId="0" borderId="1" xfId="0" applyBorder="1"/>
    <xf numFmtId="164" fontId="35" fillId="0" borderId="39" xfId="1" applyNumberFormat="1" applyFont="1" applyFill="1" applyBorder="1" applyAlignment="1">
      <alignment horizontal="center"/>
    </xf>
    <xf numFmtId="171" fontId="33" fillId="0" borderId="39" xfId="1" quotePrefix="1" applyNumberFormat="1" applyFont="1" applyFill="1" applyBorder="1" applyAlignment="1">
      <alignment horizontal="left"/>
    </xf>
    <xf numFmtId="172" fontId="32" fillId="0" borderId="39" xfId="1" applyNumberFormat="1" applyFont="1" applyFill="1" applyBorder="1" applyAlignment="1"/>
    <xf numFmtId="165" fontId="32" fillId="0" borderId="39" xfId="2" applyNumberFormat="1" applyFont="1" applyFill="1" applyBorder="1" applyAlignment="1"/>
    <xf numFmtId="43" fontId="0" fillId="0" borderId="0" xfId="0" applyNumberFormat="1"/>
    <xf numFmtId="171" fontId="33" fillId="0" borderId="39" xfId="1" applyNumberFormat="1" applyFont="1" applyFill="1" applyBorder="1" applyAlignment="1">
      <alignment horizontal="left"/>
    </xf>
    <xf numFmtId="172" fontId="33" fillId="0" borderId="39" xfId="1" applyNumberFormat="1" applyFont="1" applyFill="1" applyBorder="1" applyAlignment="1">
      <alignment vertical="top"/>
    </xf>
    <xf numFmtId="165" fontId="34" fillId="0" borderId="39" xfId="2" applyNumberFormat="1" applyFont="1" applyFill="1" applyBorder="1" applyAlignment="1">
      <alignment vertical="top"/>
    </xf>
    <xf numFmtId="3" fontId="37" fillId="0" borderId="44" xfId="9" applyNumberFormat="1" applyFont="1" applyFill="1" applyBorder="1"/>
    <xf numFmtId="0" fontId="11" fillId="0" borderId="44" xfId="10" applyFont="1" applyFill="1" applyBorder="1" applyAlignment="1">
      <alignment horizontal="center" wrapText="1"/>
    </xf>
    <xf numFmtId="0" fontId="1" fillId="0" borderId="39" xfId="10" quotePrefix="1" applyFont="1" applyBorder="1" applyAlignment="1">
      <alignment horizontal="left"/>
    </xf>
    <xf numFmtId="0" fontId="11" fillId="0" borderId="30" xfId="9" applyFont="1" applyBorder="1" applyAlignment="1">
      <alignment horizontal="left"/>
    </xf>
    <xf numFmtId="165" fontId="11" fillId="0" borderId="6" xfId="12" applyNumberFormat="1" applyFont="1" applyBorder="1"/>
    <xf numFmtId="0" fontId="11" fillId="0" borderId="43" xfId="9" applyFont="1" applyBorder="1" applyAlignment="1">
      <alignment horizontal="left"/>
    </xf>
    <xf numFmtId="0" fontId="11" fillId="0" borderId="13" xfId="0" quotePrefix="1" applyFont="1" applyBorder="1" applyAlignment="1">
      <alignment horizontal="right"/>
    </xf>
    <xf numFmtId="0" fontId="11" fillId="0" borderId="30" xfId="0" applyFont="1" applyBorder="1"/>
    <xf numFmtId="10" fontId="1" fillId="0" borderId="0" xfId="0" applyNumberFormat="1" applyFont="1" applyBorder="1" applyAlignment="1">
      <alignment horizontal="right"/>
    </xf>
    <xf numFmtId="10" fontId="1" fillId="0" borderId="44" xfId="0" applyNumberFormat="1" applyFont="1" applyBorder="1" applyAlignment="1">
      <alignment horizontal="right"/>
    </xf>
    <xf numFmtId="3" fontId="26" fillId="0" borderId="39" xfId="0" applyNumberFormat="1" applyFont="1" applyBorder="1"/>
    <xf numFmtId="0" fontId="11" fillId="2" borderId="9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30" xfId="0" quotePrefix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7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43" fontId="1" fillId="0" borderId="1" xfId="1" applyNumberFormat="1" applyFont="1" applyFill="1" applyBorder="1"/>
    <xf numFmtId="185" fontId="0" fillId="0" borderId="0" xfId="0" applyNumberFormat="1"/>
    <xf numFmtId="165" fontId="33" fillId="0" borderId="23" xfId="2" quotePrefix="1" applyNumberFormat="1" applyFont="1" applyFill="1" applyBorder="1" applyAlignment="1"/>
    <xf numFmtId="0" fontId="11" fillId="0" borderId="0" xfId="0" applyFont="1" applyBorder="1"/>
    <xf numFmtId="0" fontId="11" fillId="0" borderId="44" xfId="0" applyFont="1" applyBorder="1"/>
    <xf numFmtId="41" fontId="11" fillId="2" borderId="9" xfId="0" applyNumberFormat="1" applyFont="1" applyFill="1" applyBorder="1" applyAlignment="1">
      <alignment horizontal="center"/>
    </xf>
    <xf numFmtId="165" fontId="0" fillId="0" borderId="6" xfId="2" applyNumberFormat="1" applyFont="1" applyBorder="1"/>
    <xf numFmtId="0" fontId="0" fillId="0" borderId="0" xfId="13" applyFont="1"/>
    <xf numFmtId="43" fontId="16" fillId="0" borderId="6" xfId="0" applyNumberFormat="1" applyFont="1" applyBorder="1" applyAlignment="1">
      <alignment horizontal="center"/>
    </xf>
    <xf numFmtId="41" fontId="11" fillId="0" borderId="6" xfId="0" applyNumberFormat="1" applyFont="1" applyBorder="1"/>
    <xf numFmtId="41" fontId="11" fillId="0" borderId="6" xfId="0" applyNumberFormat="1" applyFont="1" applyFill="1" applyBorder="1"/>
    <xf numFmtId="41" fontId="0" fillId="0" borderId="39" xfId="0" applyNumberFormat="1" applyFont="1" applyBorder="1"/>
    <xf numFmtId="41" fontId="0" fillId="0" borderId="39" xfId="0" applyNumberFormat="1" applyFont="1" applyFill="1" applyBorder="1"/>
    <xf numFmtId="41" fontId="11" fillId="0" borderId="39" xfId="0" applyNumberFormat="1" applyFont="1" applyBorder="1"/>
    <xf numFmtId="41" fontId="11" fillId="0" borderId="39" xfId="1" applyNumberFormat="1" applyFont="1" applyFill="1" applyBorder="1"/>
    <xf numFmtId="41" fontId="11" fillId="11" borderId="6" xfId="0" applyNumberFormat="1" applyFont="1" applyFill="1" applyBorder="1"/>
    <xf numFmtId="41" fontId="11" fillId="0" borderId="6" xfId="1" applyNumberFormat="1" applyFont="1" applyBorder="1"/>
    <xf numFmtId="41" fontId="11" fillId="11" borderId="39" xfId="0" applyNumberFormat="1" applyFont="1" applyFill="1" applyBorder="1"/>
    <xf numFmtId="41" fontId="11" fillId="0" borderId="39" xfId="1" applyNumberFormat="1" applyFont="1" applyBorder="1"/>
    <xf numFmtId="41" fontId="0" fillId="0" borderId="6" xfId="1" applyNumberFormat="1" applyFont="1" applyFill="1" applyBorder="1"/>
    <xf numFmtId="41" fontId="11" fillId="0" borderId="39" xfId="0" applyNumberFormat="1" applyFont="1" applyFill="1" applyBorder="1"/>
    <xf numFmtId="41" fontId="1" fillId="0" borderId="6" xfId="0" applyNumberFormat="1" applyFont="1" applyBorder="1"/>
    <xf numFmtId="41" fontId="11" fillId="0" borderId="9" xfId="0" applyNumberFormat="1" applyFont="1" applyBorder="1"/>
    <xf numFmtId="41" fontId="11" fillId="0" borderId="9" xfId="0" applyNumberFormat="1" applyFont="1" applyFill="1" applyBorder="1"/>
    <xf numFmtId="41" fontId="1" fillId="0" borderId="39" xfId="0" applyNumberFormat="1" applyFont="1" applyBorder="1"/>
    <xf numFmtId="165" fontId="11" fillId="0" borderId="54" xfId="2" applyNumberFormat="1" applyFont="1" applyBorder="1"/>
    <xf numFmtId="165" fontId="11" fillId="0" borderId="55" xfId="2" applyNumberFormat="1" applyFont="1" applyBorder="1"/>
    <xf numFmtId="164" fontId="1" fillId="0" borderId="7" xfId="0" applyNumberFormat="1" applyFont="1" applyBorder="1"/>
    <xf numFmtId="0" fontId="1" fillId="0" borderId="53" xfId="0" applyFont="1" applyBorder="1"/>
    <xf numFmtId="164" fontId="11" fillId="0" borderId="53" xfId="1" applyNumberFormat="1" applyFont="1" applyFill="1" applyBorder="1"/>
    <xf numFmtId="164" fontId="11" fillId="0" borderId="55" xfId="1" applyNumberFormat="1" applyFont="1" applyBorder="1"/>
    <xf numFmtId="6" fontId="1" fillId="0" borderId="55" xfId="0" applyNumberFormat="1" applyFont="1" applyBorder="1"/>
    <xf numFmtId="0" fontId="1" fillId="0" borderId="30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" fillId="0" borderId="55" xfId="0" applyFont="1" applyBorder="1"/>
    <xf numFmtId="164" fontId="1" fillId="0" borderId="9" xfId="0" applyNumberFormat="1" applyFont="1" applyBorder="1"/>
    <xf numFmtId="186" fontId="32" fillId="0" borderId="39" xfId="1" applyNumberFormat="1" applyFont="1" applyFill="1" applyBorder="1" applyAlignment="1"/>
    <xf numFmtId="186" fontId="32" fillId="0" borderId="6" xfId="1" applyNumberFormat="1" applyFont="1" applyFill="1" applyBorder="1" applyAlignment="1"/>
    <xf numFmtId="186" fontId="33" fillId="0" borderId="6" xfId="1" applyNumberFormat="1" applyFont="1" applyFill="1" applyBorder="1" applyAlignment="1"/>
    <xf numFmtId="186" fontId="32" fillId="0" borderId="9" xfId="1" applyNumberFormat="1" applyFont="1" applyFill="1" applyBorder="1" applyAlignment="1"/>
    <xf numFmtId="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164" fontId="25" fillId="3" borderId="2" xfId="1" applyNumberFormat="1" applyFont="1" applyFill="1" applyBorder="1" applyAlignment="1">
      <alignment horizontal="center" vertical="center"/>
    </xf>
    <xf numFmtId="164" fontId="25" fillId="3" borderId="3" xfId="1" applyNumberFormat="1" applyFont="1" applyFill="1" applyBorder="1" applyAlignment="1">
      <alignment horizontal="center" vertical="center"/>
    </xf>
    <xf numFmtId="164" fontId="25" fillId="3" borderId="12" xfId="1" applyNumberFormat="1" applyFont="1" applyFill="1" applyBorder="1" applyAlignment="1">
      <alignment horizontal="center" vertical="center"/>
    </xf>
    <xf numFmtId="164" fontId="25" fillId="3" borderId="7" xfId="1" applyNumberFormat="1" applyFont="1" applyFill="1" applyBorder="1" applyAlignment="1">
      <alignment horizontal="center" vertical="center"/>
    </xf>
    <xf numFmtId="164" fontId="25" fillId="3" borderId="8" xfId="1" applyNumberFormat="1" applyFont="1" applyFill="1" applyBorder="1" applyAlignment="1">
      <alignment horizontal="center" vertical="center"/>
    </xf>
    <xf numFmtId="164" fontId="25" fillId="3" borderId="10" xfId="1" applyNumberFormat="1" applyFont="1" applyFill="1" applyBorder="1" applyAlignment="1">
      <alignment horizontal="center" vertical="center"/>
    </xf>
    <xf numFmtId="0" fontId="14" fillId="4" borderId="2" xfId="4" quotePrefix="1" applyFont="1" applyFill="1" applyBorder="1" applyAlignment="1">
      <alignment horizontal="center" vertical="center"/>
    </xf>
    <xf numFmtId="0" fontId="14" fillId="4" borderId="3" xfId="4" quotePrefix="1" applyFont="1" applyFill="1" applyBorder="1" applyAlignment="1">
      <alignment horizontal="center" vertical="center"/>
    </xf>
    <xf numFmtId="0" fontId="14" fillId="4" borderId="12" xfId="4" quotePrefix="1" applyFont="1" applyFill="1" applyBorder="1" applyAlignment="1">
      <alignment horizontal="center" vertical="center"/>
    </xf>
    <xf numFmtId="0" fontId="14" fillId="4" borderId="5" xfId="4" quotePrefix="1" applyFont="1" applyFill="1" applyBorder="1" applyAlignment="1">
      <alignment horizontal="center" vertical="center"/>
    </xf>
    <xf numFmtId="0" fontId="14" fillId="4" borderId="0" xfId="4" quotePrefix="1" applyFont="1" applyFill="1" applyBorder="1" applyAlignment="1">
      <alignment horizontal="center" vertical="center"/>
    </xf>
    <xf numFmtId="0" fontId="14" fillId="4" borderId="8" xfId="4" quotePrefix="1" applyFont="1" applyFill="1" applyBorder="1" applyAlignment="1">
      <alignment horizontal="center" vertical="center"/>
    </xf>
    <xf numFmtId="0" fontId="14" fillId="4" borderId="10" xfId="4" quotePrefix="1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4" fillId="4" borderId="3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4" fillId="4" borderId="7" xfId="4" applyFont="1" applyFill="1" applyBorder="1" applyAlignment="1">
      <alignment horizontal="center" vertical="center"/>
    </xf>
    <xf numFmtId="0" fontId="14" fillId="4" borderId="8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center" vertical="center"/>
    </xf>
    <xf numFmtId="0" fontId="11" fillId="7" borderId="13" xfId="4" quotePrefix="1" applyFont="1" applyFill="1" applyBorder="1" applyAlignment="1">
      <alignment horizontal="center"/>
    </xf>
    <xf numFmtId="0" fontId="11" fillId="7" borderId="13" xfId="4" applyFont="1" applyFill="1" applyBorder="1" applyAlignment="1">
      <alignment horizontal="center"/>
    </xf>
    <xf numFmtId="0" fontId="11" fillId="7" borderId="14" xfId="4" applyFont="1" applyFill="1" applyBorder="1" applyAlignment="1">
      <alignment horizontal="center"/>
    </xf>
    <xf numFmtId="0" fontId="11" fillId="8" borderId="13" xfId="4" quotePrefix="1" applyFont="1" applyFill="1" applyBorder="1" applyAlignment="1">
      <alignment horizontal="center"/>
    </xf>
    <xf numFmtId="0" fontId="11" fillId="8" borderId="13" xfId="4" applyFont="1" applyFill="1" applyBorder="1" applyAlignment="1">
      <alignment horizontal="center"/>
    </xf>
    <xf numFmtId="0" fontId="11" fillId="8" borderId="14" xfId="4" applyFont="1" applyFill="1" applyBorder="1" applyAlignment="1">
      <alignment horizontal="center"/>
    </xf>
    <xf numFmtId="0" fontId="11" fillId="2" borderId="13" xfId="4" quotePrefix="1" applyFont="1" applyFill="1" applyBorder="1" applyAlignment="1">
      <alignment horizontal="center"/>
    </xf>
    <xf numFmtId="0" fontId="11" fillId="2" borderId="13" xfId="4" applyFont="1" applyFill="1" applyBorder="1" applyAlignment="1">
      <alignment horizontal="center"/>
    </xf>
    <xf numFmtId="0" fontId="11" fillId="2" borderId="14" xfId="4" applyFont="1" applyFill="1" applyBorder="1" applyAlignment="1">
      <alignment horizontal="center"/>
    </xf>
    <xf numFmtId="0" fontId="11" fillId="8" borderId="11" xfId="4" quotePrefix="1" applyFont="1" applyFill="1" applyBorder="1" applyAlignment="1">
      <alignment horizontal="center"/>
    </xf>
    <xf numFmtId="37" fontId="25" fillId="3" borderId="2" xfId="5" applyNumberFormat="1" applyFont="1" applyFill="1" applyBorder="1" applyAlignment="1">
      <alignment horizontal="center" vertical="center"/>
    </xf>
    <xf numFmtId="37" fontId="25" fillId="3" borderId="3" xfId="5" applyNumberFormat="1" applyFont="1" applyFill="1" applyBorder="1" applyAlignment="1">
      <alignment horizontal="center" vertical="center"/>
    </xf>
    <xf numFmtId="37" fontId="25" fillId="3" borderId="12" xfId="5" applyNumberFormat="1" applyFont="1" applyFill="1" applyBorder="1" applyAlignment="1">
      <alignment horizontal="center" vertical="center"/>
    </xf>
    <xf numFmtId="37" fontId="25" fillId="3" borderId="5" xfId="5" applyNumberFormat="1" applyFont="1" applyFill="1" applyBorder="1" applyAlignment="1">
      <alignment horizontal="center" vertical="center"/>
    </xf>
    <xf numFmtId="37" fontId="25" fillId="3" borderId="0" xfId="5" applyNumberFormat="1" applyFont="1" applyFill="1" applyBorder="1" applyAlignment="1">
      <alignment horizontal="center" vertical="center"/>
    </xf>
    <xf numFmtId="37" fontId="25" fillId="3" borderId="8" xfId="5" applyNumberFormat="1" applyFont="1" applyFill="1" applyBorder="1" applyAlignment="1">
      <alignment horizontal="center" vertical="center"/>
    </xf>
    <xf numFmtId="37" fontId="25" fillId="3" borderId="10" xfId="5" applyNumberFormat="1" applyFont="1" applyFill="1" applyBorder="1" applyAlignment="1">
      <alignment horizontal="center" vertical="center"/>
    </xf>
    <xf numFmtId="0" fontId="14" fillId="4" borderId="7" xfId="4" quotePrefix="1" applyFont="1" applyFill="1" applyBorder="1" applyAlignment="1">
      <alignment horizontal="center" vertical="center"/>
    </xf>
    <xf numFmtId="37" fontId="25" fillId="3" borderId="2" xfId="5" quotePrefix="1" applyNumberFormat="1" applyFont="1" applyFill="1" applyBorder="1" applyAlignment="1">
      <alignment horizontal="center" vertical="center"/>
    </xf>
    <xf numFmtId="37" fontId="25" fillId="3" borderId="7" xfId="5" applyNumberFormat="1" applyFont="1" applyFill="1" applyBorder="1" applyAlignment="1">
      <alignment horizontal="center" vertical="center"/>
    </xf>
    <xf numFmtId="171" fontId="34" fillId="7" borderId="11" xfId="1" applyNumberFormat="1" applyFont="1" applyFill="1" applyBorder="1" applyAlignment="1">
      <alignment horizontal="center"/>
    </xf>
    <xf numFmtId="171" fontId="34" fillId="7" borderId="13" xfId="1" applyNumberFormat="1" applyFont="1" applyFill="1" applyBorder="1" applyAlignment="1">
      <alignment horizontal="center"/>
    </xf>
    <xf numFmtId="171" fontId="34" fillId="7" borderId="14" xfId="1" applyNumberFormat="1" applyFont="1" applyFill="1" applyBorder="1" applyAlignment="1">
      <alignment horizontal="center"/>
    </xf>
    <xf numFmtId="171" fontId="34" fillId="8" borderId="1" xfId="1" applyNumberFormat="1" applyFont="1" applyFill="1" applyBorder="1" applyAlignment="1">
      <alignment horizontal="center"/>
    </xf>
    <xf numFmtId="171" fontId="34" fillId="8" borderId="13" xfId="1" applyNumberFormat="1" applyFont="1" applyFill="1" applyBorder="1" applyAlignment="1">
      <alignment horizontal="center"/>
    </xf>
    <xf numFmtId="171" fontId="34" fillId="2" borderId="1" xfId="1" applyNumberFormat="1" applyFont="1" applyFill="1" applyBorder="1" applyAlignment="1">
      <alignment horizontal="center"/>
    </xf>
    <xf numFmtId="171" fontId="34" fillId="2" borderId="14" xfId="1" applyNumberFormat="1" applyFont="1" applyFill="1" applyBorder="1" applyAlignment="1">
      <alignment horizontal="center"/>
    </xf>
    <xf numFmtId="171" fontId="34" fillId="8" borderId="14" xfId="1" applyNumberFormat="1" applyFont="1" applyFill="1" applyBorder="1" applyAlignment="1">
      <alignment horizontal="center"/>
    </xf>
    <xf numFmtId="171" fontId="34" fillId="2" borderId="11" xfId="1" applyNumberFormat="1" applyFont="1" applyFill="1" applyBorder="1" applyAlignment="1">
      <alignment horizontal="center"/>
    </xf>
    <xf numFmtId="164" fontId="34" fillId="8" borderId="1" xfId="1" applyNumberFormat="1" applyFont="1" applyFill="1" applyBorder="1" applyAlignment="1">
      <alignment horizontal="center"/>
    </xf>
    <xf numFmtId="164" fontId="34" fillId="8" borderId="14" xfId="1" applyNumberFormat="1" applyFont="1" applyFill="1" applyBorder="1" applyAlignment="1">
      <alignment horizontal="center"/>
    </xf>
    <xf numFmtId="164" fontId="34" fillId="2" borderId="1" xfId="1" applyNumberFormat="1" applyFont="1" applyFill="1" applyBorder="1" applyAlignment="1">
      <alignment horizontal="center"/>
    </xf>
    <xf numFmtId="164" fontId="34" fillId="2" borderId="14" xfId="1" applyNumberFormat="1" applyFont="1" applyFill="1" applyBorder="1" applyAlignment="1">
      <alignment horizontal="center"/>
    </xf>
    <xf numFmtId="164" fontId="34" fillId="8" borderId="13" xfId="1" applyNumberFormat="1" applyFont="1" applyFill="1" applyBorder="1" applyAlignment="1">
      <alignment horizontal="center"/>
    </xf>
    <xf numFmtId="164" fontId="34" fillId="2" borderId="11" xfId="1" applyNumberFormat="1" applyFont="1" applyFill="1" applyBorder="1" applyAlignment="1">
      <alignment horizontal="center"/>
    </xf>
    <xf numFmtId="0" fontId="11" fillId="2" borderId="4" xfId="7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34" fillId="7" borderId="1" xfId="1" quotePrefix="1" applyNumberFormat="1" applyFont="1" applyFill="1" applyBorder="1" applyAlignment="1">
      <alignment horizontal="center"/>
    </xf>
    <xf numFmtId="164" fontId="34" fillId="7" borderId="14" xfId="1" applyNumberFormat="1" applyFont="1" applyFill="1" applyBorder="1" applyAlignment="1">
      <alignment horizontal="center"/>
    </xf>
    <xf numFmtId="0" fontId="11" fillId="2" borderId="4" xfId="7" quotePrefix="1" applyFont="1" applyFill="1" applyBorder="1" applyAlignment="1">
      <alignment horizontal="center" vertical="center"/>
    </xf>
    <xf numFmtId="3" fontId="11" fillId="7" borderId="11" xfId="4" applyNumberFormat="1" applyFont="1" applyFill="1" applyBorder="1" applyAlignment="1">
      <alignment horizontal="center"/>
    </xf>
    <xf numFmtId="3" fontId="11" fillId="7" borderId="14" xfId="4" quotePrefix="1" applyNumberFormat="1" applyFont="1" applyFill="1" applyBorder="1" applyAlignment="1">
      <alignment horizontal="center"/>
    </xf>
    <xf numFmtId="3" fontId="11" fillId="7" borderId="14" xfId="4" applyNumberFormat="1" applyFont="1" applyFill="1" applyBorder="1" applyAlignment="1">
      <alignment horizontal="center"/>
    </xf>
    <xf numFmtId="3" fontId="11" fillId="7" borderId="13" xfId="4" applyNumberFormat="1" applyFont="1" applyFill="1" applyBorder="1" applyAlignment="1">
      <alignment horizontal="center"/>
    </xf>
    <xf numFmtId="0" fontId="11" fillId="7" borderId="11" xfId="9" applyFont="1" applyFill="1" applyBorder="1" applyAlignment="1">
      <alignment horizontal="center"/>
    </xf>
    <xf numFmtId="0" fontId="11" fillId="7" borderId="13" xfId="9" applyFont="1" applyFill="1" applyBorder="1" applyAlignment="1">
      <alignment horizontal="center"/>
    </xf>
    <xf numFmtId="0" fontId="11" fillId="7" borderId="14" xfId="9" applyFont="1" applyFill="1" applyBorder="1" applyAlignment="1">
      <alignment horizontal="center"/>
    </xf>
    <xf numFmtId="164" fontId="11" fillId="2" borderId="11" xfId="14" applyNumberFormat="1" applyFont="1" applyFill="1" applyBorder="1" applyAlignment="1">
      <alignment horizontal="center"/>
    </xf>
    <xf numFmtId="164" fontId="11" fillId="2" borderId="13" xfId="14" applyNumberFormat="1" applyFont="1" applyFill="1" applyBorder="1" applyAlignment="1">
      <alignment horizontal="center"/>
    </xf>
    <xf numFmtId="164" fontId="11" fillId="2" borderId="14" xfId="14" applyNumberFormat="1" applyFont="1" applyFill="1" applyBorder="1" applyAlignment="1">
      <alignment horizontal="center"/>
    </xf>
    <xf numFmtId="164" fontId="11" fillId="8" borderId="7" xfId="14" applyNumberFormat="1" applyFont="1" applyFill="1" applyBorder="1" applyAlignment="1">
      <alignment horizontal="center"/>
    </xf>
    <xf numFmtId="164" fontId="11" fillId="8" borderId="8" xfId="14" applyNumberFormat="1" applyFont="1" applyFill="1" applyBorder="1" applyAlignment="1">
      <alignment horizontal="center"/>
    </xf>
    <xf numFmtId="164" fontId="11" fillId="8" borderId="10" xfId="14" applyNumberFormat="1" applyFont="1" applyFill="1" applyBorder="1" applyAlignment="1">
      <alignment horizontal="center"/>
    </xf>
    <xf numFmtId="164" fontId="22" fillId="5" borderId="7" xfId="14" applyNumberFormat="1" applyFont="1" applyFill="1" applyBorder="1" applyAlignment="1">
      <alignment horizontal="center"/>
    </xf>
    <xf numFmtId="164" fontId="22" fillId="5" borderId="8" xfId="14" applyNumberFormat="1" applyFont="1" applyFill="1" applyBorder="1" applyAlignment="1">
      <alignment horizontal="center"/>
    </xf>
    <xf numFmtId="164" fontId="22" fillId="5" borderId="14" xfId="14" applyNumberFormat="1" applyFont="1" applyFill="1" applyBorder="1" applyAlignment="1">
      <alignment horizontal="center"/>
    </xf>
    <xf numFmtId="164" fontId="11" fillId="8" borderId="11" xfId="14" applyNumberFormat="1" applyFont="1" applyFill="1" applyBorder="1" applyAlignment="1">
      <alignment horizontal="center"/>
    </xf>
    <xf numFmtId="164" fontId="11" fillId="8" borderId="13" xfId="14" applyNumberFormat="1" applyFont="1" applyFill="1" applyBorder="1" applyAlignment="1">
      <alignment horizontal="center"/>
    </xf>
    <xf numFmtId="164" fontId="11" fillId="8" borderId="14" xfId="14" applyNumberFormat="1" applyFont="1" applyFill="1" applyBorder="1" applyAlignment="1">
      <alignment horizontal="center"/>
    </xf>
    <xf numFmtId="164" fontId="22" fillId="5" borderId="11" xfId="14" applyNumberFormat="1" applyFont="1" applyFill="1" applyBorder="1" applyAlignment="1">
      <alignment horizontal="center"/>
    </xf>
    <xf numFmtId="164" fontId="22" fillId="5" borderId="13" xfId="14" applyNumberFormat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3" xfId="1" applyNumberFormat="1" applyFont="1" applyFill="1" applyBorder="1" applyAlignment="1">
      <alignment horizontal="center"/>
    </xf>
    <xf numFmtId="164" fontId="11" fillId="0" borderId="14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1" fillId="0" borderId="8" xfId="1" applyNumberFormat="1" applyFont="1" applyFill="1" applyBorder="1" applyAlignment="1">
      <alignment horizontal="center"/>
    </xf>
    <xf numFmtId="164" fontId="11" fillId="0" borderId="10" xfId="1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37" fontId="7" fillId="7" borderId="11" xfId="4" applyNumberFormat="1" applyFont="1" applyFill="1" applyBorder="1" applyAlignment="1">
      <alignment horizontal="center"/>
    </xf>
    <xf numFmtId="37" fontId="7" fillId="7" borderId="13" xfId="4" applyNumberFormat="1" applyFont="1" applyFill="1" applyBorder="1" applyAlignment="1">
      <alignment horizontal="center"/>
    </xf>
    <xf numFmtId="37" fontId="7" fillId="7" borderId="14" xfId="4" applyNumberFormat="1" applyFont="1" applyFill="1" applyBorder="1" applyAlignment="1">
      <alignment horizontal="center"/>
    </xf>
    <xf numFmtId="37" fontId="11" fillId="7" borderId="11" xfId="4" applyNumberFormat="1" applyFont="1" applyFill="1" applyBorder="1" applyAlignment="1">
      <alignment horizontal="center"/>
    </xf>
    <xf numFmtId="37" fontId="11" fillId="7" borderId="13" xfId="4" applyNumberFormat="1" applyFont="1" applyFill="1" applyBorder="1" applyAlignment="1">
      <alignment horizontal="center"/>
    </xf>
    <xf numFmtId="37" fontId="11" fillId="7" borderId="14" xfId="4" applyNumberFormat="1" applyFont="1" applyFill="1" applyBorder="1" applyAlignment="1">
      <alignment horizontal="center"/>
    </xf>
    <xf numFmtId="37" fontId="11" fillId="7" borderId="7" xfId="4" applyNumberFormat="1" applyFont="1" applyFill="1" applyBorder="1" applyAlignment="1">
      <alignment horizontal="center"/>
    </xf>
    <xf numFmtId="37" fontId="11" fillId="7" borderId="8" xfId="4" applyNumberFormat="1" applyFont="1" applyFill="1" applyBorder="1" applyAlignment="1">
      <alignment horizontal="center"/>
    </xf>
    <xf numFmtId="37" fontId="11" fillId="7" borderId="10" xfId="4" applyNumberFormat="1" applyFont="1" applyFill="1" applyBorder="1" applyAlignment="1">
      <alignment horizontal="center"/>
    </xf>
    <xf numFmtId="37" fontId="25" fillId="3" borderId="35" xfId="5" applyNumberFormat="1" applyFont="1" applyFill="1" applyBorder="1" applyAlignment="1">
      <alignment horizontal="center" vertical="center"/>
    </xf>
    <xf numFmtId="0" fontId="14" fillId="4" borderId="30" xfId="4" quotePrefix="1" applyFont="1" applyFill="1" applyBorder="1" applyAlignment="1">
      <alignment horizontal="center" vertical="center"/>
    </xf>
    <xf numFmtId="37" fontId="25" fillId="3" borderId="42" xfId="5" applyNumberFormat="1" applyFont="1" applyFill="1" applyBorder="1" applyAlignment="1">
      <alignment horizontal="center" vertical="center"/>
    </xf>
    <xf numFmtId="37" fontId="25" fillId="3" borderId="43" xfId="5" applyNumberFormat="1" applyFont="1" applyFill="1" applyBorder="1" applyAlignment="1">
      <alignment horizontal="center" vertical="center"/>
    </xf>
    <xf numFmtId="37" fontId="25" fillId="3" borderId="44" xfId="5" applyNumberFormat="1" applyFont="1" applyFill="1" applyBorder="1" applyAlignment="1">
      <alignment horizontal="center" vertical="center"/>
    </xf>
    <xf numFmtId="37" fontId="25" fillId="3" borderId="45" xfId="5" applyNumberFormat="1" applyFont="1" applyFill="1" applyBorder="1" applyAlignment="1">
      <alignment horizontal="center" vertical="center"/>
    </xf>
    <xf numFmtId="0" fontId="14" fillId="4" borderId="42" xfId="4" quotePrefix="1" applyFont="1" applyFill="1" applyBorder="1" applyAlignment="1">
      <alignment horizontal="center" vertical="center"/>
    </xf>
    <xf numFmtId="0" fontId="14" fillId="4" borderId="44" xfId="4" quotePrefix="1" applyFont="1" applyFill="1" applyBorder="1" applyAlignment="1">
      <alignment horizontal="center" vertical="center"/>
    </xf>
    <xf numFmtId="0" fontId="14" fillId="4" borderId="45" xfId="4" quotePrefix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</cellXfs>
  <cellStyles count="20">
    <cellStyle name="Comma" xfId="1" builtinId="3"/>
    <cellStyle name="Comma [0] 2" xfId="19"/>
    <cellStyle name="Comma 3" xfId="8"/>
    <cellStyle name="Comma_Capital_Rate_2005_0523_Adj_0610" xfId="14"/>
    <cellStyle name="Comma_GG_Capital_Sch_H" xfId="11"/>
    <cellStyle name="Comma_GG_H" xfId="15"/>
    <cellStyle name="Currency" xfId="2" builtinId="4"/>
    <cellStyle name="Currency [0] 2" xfId="16"/>
    <cellStyle name="Currency_GG_Capital_Sch_H" xfId="12"/>
    <cellStyle name="Normal" xfId="0" builtinId="0"/>
    <cellStyle name="Normal 2" xfId="4"/>
    <cellStyle name="Normal 2 2" xfId="7"/>
    <cellStyle name="Normal 7" xfId="5"/>
    <cellStyle name="Normal_GG_Capital_Sch_H" xfId="10"/>
    <cellStyle name="Normal_GG_H" xfId="17"/>
    <cellStyle name="Normal_RKL_Useful_Materials_at_Work_070209F_1" xfId="6"/>
    <cellStyle name="Normal_RKL_Useful_Materials_at_Work_070209F_1 2" xfId="18"/>
    <cellStyle name="Normal_Sch_SS" xfId="13"/>
    <cellStyle name="Normal_SS_Capital_Sch_H" xfId="9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Sunset/SS_RKL/BP2014_RKL_Wkg/SSC_RY2014_PR_Model_2012_1206R_01_Final_Rate_Applicatio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Sunset/SS_RKL/Rate_Reports_RY2014/RY2014_Q2/PL_Trend_GlobalSoft_13_Months_FY2014_2014_01_Valu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Sunset/SS_RKL/BP2014_RKL_Wkg/GGD_RY2014_PR_Model_2012_1206R_01_2013_0303_Final_Rate_Applicatio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Sunset/SS_RKL/Rate_Reports_RY2014/Rate_Financial_Statement_RY2014_Q1_Wkg_2013_1030W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SF%20Region\RateApp2006\Rate%20Model_Actual_Detail\Rate%20Calculation%20and%20Projections%20-%20Detail%20Schedules\Sunset%20Detail%20Schedules\BP2005_Projections%20-%20Detail%20Link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_NAV_n_Check"/>
      <sheetName val="Check_Old"/>
      <sheetName val="Parameters"/>
      <sheetName val="BU_List"/>
      <sheetName val="Day_Calc"/>
      <sheetName val="Hol_by_Union"/>
      <sheetName val="Hol_by_Type"/>
      <sheetName val="Wkdays_by_Type"/>
      <sheetName val="Percentage_OT_n_Such"/>
      <sheetName val="Obj_No_for_PR"/>
      <sheetName val="Obj_No_for_PR (2)"/>
      <sheetName val="Chanages"/>
      <sheetName val="UL_Amt_Template"/>
      <sheetName val="UL_Hrs_Template"/>
      <sheetName val="350S_Reg_Hrs"/>
      <sheetName val="350S_OT_Hrs"/>
      <sheetName val="Exceptions"/>
      <sheetName val="Wkg_EE_List"/>
      <sheetName val="Download"/>
      <sheetName val="EE_List_Dwld"/>
      <sheetName val="Accrued_Vac"/>
      <sheetName val="Vac_Table"/>
      <sheetName val="SSC_HC_Actual"/>
      <sheetName val="SSC_HC_FTE"/>
      <sheetName val="G.1_HC_DATA_by_BU"/>
      <sheetName val="G.1_HC_DATA_by_BU (2)"/>
      <sheetName val="G.1_Hr_DATA_by_BU"/>
      <sheetName val="G.1_Dlr_DATA_by_BU"/>
      <sheetName val="G.2_DATA_by_BU"/>
      <sheetName val="G.3_DATA_by_BU"/>
      <sheetName val="G.4_DATA_by_BU"/>
      <sheetName val="SS_Routes"/>
      <sheetName val="SS_Routes_for_HC_Rpt"/>
      <sheetName val="Weekdays"/>
      <sheetName val="Saturdays"/>
      <sheetName val="Saturdays2"/>
      <sheetName val="Sundays"/>
      <sheetName val="OT"/>
      <sheetName val="OT_CLR_NonU"/>
      <sheetName val="Holwkd_CLR_NonU"/>
      <sheetName val="Christmas_New Year_Sat"/>
      <sheetName val="Holiday Worked"/>
      <sheetName val="Union_Rate"/>
      <sheetName val="Union_Rate_All"/>
      <sheetName val="010"/>
      <sheetName val="013"/>
      <sheetName val="014"/>
      <sheetName val="015"/>
      <sheetName val="016"/>
      <sheetName val="041"/>
      <sheetName val="050"/>
      <sheetName val="060"/>
      <sheetName val="120"/>
      <sheetName val="122"/>
      <sheetName val="124"/>
      <sheetName val="125"/>
      <sheetName val="018"/>
      <sheetName val="510"/>
      <sheetName val="740"/>
      <sheetName val="810"/>
      <sheetName val="812"/>
      <sheetName val="Total"/>
      <sheetName val="Tracking"/>
      <sheetName val="Object_No"/>
      <sheetName val="Table"/>
      <sheetName val="Replacemen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">
          <cell r="C6">
            <v>39968</v>
          </cell>
          <cell r="D6" t="str">
            <v>5100014</v>
          </cell>
          <cell r="E6" t="str">
            <v>CALIBO, LEROY</v>
          </cell>
          <cell r="F6" t="str">
            <v>HELPER</v>
          </cell>
          <cell r="G6" t="str">
            <v>Helper</v>
          </cell>
          <cell r="H6" t="str">
            <v>350S</v>
          </cell>
          <cell r="I6" t="str">
            <v>DSP</v>
          </cell>
          <cell r="J6" t="str">
            <v>350S</v>
          </cell>
          <cell r="K6">
            <v>34711</v>
          </cell>
        </row>
        <row r="7">
          <cell r="C7">
            <v>51502</v>
          </cell>
          <cell r="D7" t="str">
            <v>5100510</v>
          </cell>
          <cell r="E7" t="str">
            <v>DEVIS, GUILLERMO R</v>
          </cell>
          <cell r="F7" t="str">
            <v>MECH</v>
          </cell>
          <cell r="G7" t="str">
            <v>Mechanic</v>
          </cell>
          <cell r="H7" t="str">
            <v>350S</v>
          </cell>
          <cell r="I7" t="str">
            <v>SHP</v>
          </cell>
          <cell r="J7" t="str">
            <v>350S</v>
          </cell>
          <cell r="K7">
            <v>36570</v>
          </cell>
        </row>
        <row r="8">
          <cell r="C8">
            <v>60011</v>
          </cell>
          <cell r="D8" t="str">
            <v>5100510</v>
          </cell>
          <cell r="E8" t="str">
            <v>ORELLANA, MILTON A.</v>
          </cell>
          <cell r="F8" t="str">
            <v>MECH</v>
          </cell>
          <cell r="G8" t="str">
            <v>Mechanic</v>
          </cell>
          <cell r="H8" t="str">
            <v>350S</v>
          </cell>
          <cell r="I8" t="str">
            <v>SHP</v>
          </cell>
          <cell r="J8" t="str">
            <v>350S</v>
          </cell>
          <cell r="K8">
            <v>37599</v>
          </cell>
        </row>
        <row r="9">
          <cell r="C9">
            <v>89295</v>
          </cell>
          <cell r="D9" t="str">
            <v>5100014</v>
          </cell>
          <cell r="E9" t="str">
            <v>OROPEZA, CLEMENTE</v>
          </cell>
          <cell r="F9" t="str">
            <v>FTSTC3</v>
          </cell>
          <cell r="G9" t="str">
            <v>Driver - Fantastic 3</v>
          </cell>
          <cell r="H9" t="str">
            <v>350S</v>
          </cell>
          <cell r="I9" t="str">
            <v>DSP</v>
          </cell>
          <cell r="J9" t="str">
            <v>350S</v>
          </cell>
          <cell r="K9">
            <v>34470</v>
          </cell>
        </row>
        <row r="10">
          <cell r="C10">
            <v>350705</v>
          </cell>
          <cell r="D10" t="str">
            <v>5100014</v>
          </cell>
          <cell r="E10" t="str">
            <v>GOLDSTEIN, JOSEPH R.</v>
          </cell>
          <cell r="F10" t="str">
            <v>OPSUP</v>
          </cell>
          <cell r="G10" t="str">
            <v>Operations Supvsr</v>
          </cell>
          <cell r="H10">
            <v>0</v>
          </cell>
          <cell r="I10">
            <v>0</v>
          </cell>
          <cell r="J10" t="str">
            <v>Non</v>
          </cell>
          <cell r="K10">
            <v>36083</v>
          </cell>
        </row>
        <row r="11">
          <cell r="C11">
            <v>568430</v>
          </cell>
          <cell r="D11" t="str">
            <v>5100014</v>
          </cell>
          <cell r="E11" t="str">
            <v>JOHNSON, L'ADANTE T.</v>
          </cell>
          <cell r="F11" t="str">
            <v>DRIVER</v>
          </cell>
          <cell r="G11" t="str">
            <v>Driver</v>
          </cell>
          <cell r="H11" t="str">
            <v>350S</v>
          </cell>
          <cell r="I11" t="str">
            <v>DSP</v>
          </cell>
          <cell r="J11" t="str">
            <v>350S</v>
          </cell>
          <cell r="K11">
            <v>38516</v>
          </cell>
        </row>
        <row r="12">
          <cell r="C12">
            <v>579260</v>
          </cell>
          <cell r="D12" t="str">
            <v>5100010</v>
          </cell>
          <cell r="E12" t="str">
            <v>YU, LANA Y.</v>
          </cell>
          <cell r="F12" t="str">
            <v>CSREP</v>
          </cell>
          <cell r="G12" t="str">
            <v>Customer Service Rep</v>
          </cell>
          <cell r="H12" t="str">
            <v>350CLR</v>
          </cell>
          <cell r="I12" t="str">
            <v>OFC</v>
          </cell>
          <cell r="J12" t="str">
            <v>350CLR</v>
          </cell>
          <cell r="K12">
            <v>38303</v>
          </cell>
        </row>
        <row r="13">
          <cell r="C13">
            <v>599359</v>
          </cell>
          <cell r="D13" t="str">
            <v>5100010</v>
          </cell>
          <cell r="E13" t="str">
            <v>VALLEJO, ELISA</v>
          </cell>
          <cell r="F13" t="str">
            <v>CSREP</v>
          </cell>
          <cell r="G13" t="str">
            <v>Customer Service Rep</v>
          </cell>
          <cell r="H13" t="str">
            <v>350CLR</v>
          </cell>
          <cell r="I13" t="str">
            <v>OFC</v>
          </cell>
          <cell r="J13" t="str">
            <v>350CLR</v>
          </cell>
          <cell r="K13">
            <v>38700</v>
          </cell>
        </row>
        <row r="14">
          <cell r="C14">
            <v>1809303</v>
          </cell>
          <cell r="D14" t="str">
            <v>5100014</v>
          </cell>
          <cell r="E14" t="str">
            <v>COTRONEO,  PASQUALE F.</v>
          </cell>
          <cell r="F14" t="str">
            <v>DRIVER</v>
          </cell>
          <cell r="G14" t="str">
            <v>Driver</v>
          </cell>
          <cell r="H14" t="str">
            <v>350S</v>
          </cell>
          <cell r="I14" t="str">
            <v>DSP</v>
          </cell>
          <cell r="J14" t="str">
            <v>350S</v>
          </cell>
          <cell r="K14">
            <v>38670</v>
          </cell>
        </row>
        <row r="15">
          <cell r="C15">
            <v>584077</v>
          </cell>
          <cell r="D15" t="str">
            <v>5100014</v>
          </cell>
          <cell r="E15" t="str">
            <v>ELLINGTON, ERIK S.</v>
          </cell>
          <cell r="F15" t="str">
            <v>DRIVER</v>
          </cell>
          <cell r="G15" t="str">
            <v>Driver</v>
          </cell>
          <cell r="H15" t="str">
            <v>350S</v>
          </cell>
          <cell r="I15" t="str">
            <v>DSP</v>
          </cell>
          <cell r="J15" t="str">
            <v>350S</v>
          </cell>
          <cell r="K15">
            <v>38763</v>
          </cell>
        </row>
        <row r="16">
          <cell r="C16">
            <v>58755</v>
          </cell>
          <cell r="D16" t="str">
            <v>5100014</v>
          </cell>
          <cell r="E16" t="str">
            <v>MENDOZA JR., JAMES W.</v>
          </cell>
          <cell r="F16" t="str">
            <v>OPSMG</v>
          </cell>
          <cell r="G16" t="str">
            <v>Operations Manager</v>
          </cell>
          <cell r="I16">
            <v>0</v>
          </cell>
          <cell r="J16">
            <v>0</v>
          </cell>
          <cell r="K16">
            <v>36129</v>
          </cell>
        </row>
        <row r="17">
          <cell r="C17">
            <v>515856</v>
          </cell>
          <cell r="D17" t="str">
            <v>5100014</v>
          </cell>
          <cell r="E17" t="str">
            <v>DELA TORRE, ARTURO</v>
          </cell>
          <cell r="F17" t="str">
            <v>DRIVER</v>
          </cell>
          <cell r="G17" t="str">
            <v>Driver</v>
          </cell>
          <cell r="H17" t="str">
            <v>350S</v>
          </cell>
          <cell r="I17" t="str">
            <v>DSP</v>
          </cell>
          <cell r="J17" t="str">
            <v>SSC-350S</v>
          </cell>
          <cell r="K17">
            <v>38881</v>
          </cell>
        </row>
        <row r="18">
          <cell r="C18">
            <v>1500816</v>
          </cell>
          <cell r="D18" t="str">
            <v>5100510</v>
          </cell>
          <cell r="E18" t="str">
            <v>MELO, DENNY</v>
          </cell>
          <cell r="F18" t="str">
            <v>MECH</v>
          </cell>
          <cell r="G18" t="str">
            <v>Mechanic</v>
          </cell>
          <cell r="H18" t="str">
            <v>350S</v>
          </cell>
          <cell r="I18" t="str">
            <v>SHP</v>
          </cell>
          <cell r="J18" t="str">
            <v>SSC-350S</v>
          </cell>
          <cell r="K18">
            <v>39265</v>
          </cell>
        </row>
        <row r="19">
          <cell r="C19">
            <v>20061</v>
          </cell>
          <cell r="D19" t="str">
            <v>5100014</v>
          </cell>
          <cell r="E19" t="str">
            <v>BLAKE, ALAN R.</v>
          </cell>
          <cell r="F19" t="str">
            <v>OPSMG</v>
          </cell>
          <cell r="G19" t="str">
            <v>Operations Manager</v>
          </cell>
          <cell r="H19">
            <v>0</v>
          </cell>
          <cell r="I19">
            <v>0</v>
          </cell>
          <cell r="J19" t="str">
            <v>SSC-NonU</v>
          </cell>
          <cell r="K19">
            <v>39449</v>
          </cell>
        </row>
        <row r="20">
          <cell r="C20">
            <v>61006</v>
          </cell>
          <cell r="D20" t="str">
            <v>5100510</v>
          </cell>
          <cell r="E20" t="str">
            <v>GUZMAN, FRANCISCO J.</v>
          </cell>
          <cell r="F20" t="str">
            <v>TGSHP</v>
          </cell>
          <cell r="G20" t="str">
            <v>Shop Person</v>
          </cell>
          <cell r="H20" t="str">
            <v>350S</v>
          </cell>
          <cell r="I20" t="str">
            <v>SHP</v>
          </cell>
          <cell r="J20" t="str">
            <v>SSC-350S</v>
          </cell>
          <cell r="K20">
            <v>33120</v>
          </cell>
        </row>
        <row r="21">
          <cell r="C21">
            <v>3483950</v>
          </cell>
          <cell r="D21" t="str">
            <v>5100014</v>
          </cell>
          <cell r="E21" t="str">
            <v>PONCE JR, RUBEN</v>
          </cell>
          <cell r="F21" t="str">
            <v>DRIVER</v>
          </cell>
          <cell r="G21" t="str">
            <v>Driver</v>
          </cell>
          <cell r="H21" t="str">
            <v>350S</v>
          </cell>
          <cell r="I21" t="str">
            <v>DSP</v>
          </cell>
          <cell r="J21" t="str">
            <v>SSC-350S</v>
          </cell>
          <cell r="K21">
            <v>39727</v>
          </cell>
        </row>
        <row r="22">
          <cell r="C22">
            <v>3565630</v>
          </cell>
          <cell r="D22" t="str">
            <v>5100014</v>
          </cell>
          <cell r="E22" t="str">
            <v>WILLIAMSON, BRANDON D.</v>
          </cell>
          <cell r="F22" t="str">
            <v>DRIVER</v>
          </cell>
          <cell r="G22" t="str">
            <v>Driver</v>
          </cell>
          <cell r="H22" t="str">
            <v>350S</v>
          </cell>
          <cell r="I22" t="str">
            <v>DSP</v>
          </cell>
          <cell r="J22" t="str">
            <v>SSC-350S</v>
          </cell>
          <cell r="K22">
            <v>39727</v>
          </cell>
        </row>
        <row r="23">
          <cell r="C23">
            <v>3591096</v>
          </cell>
          <cell r="D23" t="str">
            <v>5100014</v>
          </cell>
          <cell r="E23" t="str">
            <v>HERNANDEZ, EFRAIN</v>
          </cell>
          <cell r="F23" t="str">
            <v>DRIVER</v>
          </cell>
          <cell r="G23" t="str">
            <v>Driver</v>
          </cell>
          <cell r="H23" t="str">
            <v>350S</v>
          </cell>
          <cell r="I23" t="str">
            <v>DSP</v>
          </cell>
          <cell r="J23" t="str">
            <v>SSC-350S</v>
          </cell>
          <cell r="K23">
            <v>39727</v>
          </cell>
        </row>
        <row r="24">
          <cell r="C24">
            <v>83379</v>
          </cell>
          <cell r="D24" t="str">
            <v>5100015</v>
          </cell>
          <cell r="E24" t="str">
            <v>MEIER, AARON</v>
          </cell>
          <cell r="F24" t="str">
            <v>DRIVER</v>
          </cell>
          <cell r="G24" t="str">
            <v>Driver</v>
          </cell>
          <cell r="H24" t="str">
            <v>350S</v>
          </cell>
          <cell r="I24" t="str">
            <v>DSP</v>
          </cell>
          <cell r="J24" t="str">
            <v>SSC-350S</v>
          </cell>
          <cell r="K24">
            <v>40322</v>
          </cell>
        </row>
        <row r="25">
          <cell r="C25">
            <v>453384</v>
          </cell>
          <cell r="D25" t="str">
            <v>5100015</v>
          </cell>
          <cell r="E25" t="str">
            <v>RAMIREZ, RICARDO</v>
          </cell>
          <cell r="F25" t="str">
            <v>DRIVER</v>
          </cell>
          <cell r="G25" t="str">
            <v>Driver</v>
          </cell>
          <cell r="H25" t="str">
            <v>350S</v>
          </cell>
          <cell r="I25" t="str">
            <v>DSP</v>
          </cell>
          <cell r="J25" t="str">
            <v>SSC-350S</v>
          </cell>
          <cell r="K25">
            <v>40322</v>
          </cell>
        </row>
        <row r="26">
          <cell r="C26">
            <v>1786148</v>
          </cell>
          <cell r="D26" t="str">
            <v>5100015</v>
          </cell>
          <cell r="E26" t="str">
            <v>ROJAS, MIGUEL R.</v>
          </cell>
          <cell r="F26" t="str">
            <v>DRIVER</v>
          </cell>
          <cell r="G26" t="str">
            <v>Driver</v>
          </cell>
          <cell r="H26" t="str">
            <v>350S</v>
          </cell>
          <cell r="I26" t="str">
            <v>DSP</v>
          </cell>
          <cell r="J26" t="str">
            <v>SSC-350S</v>
          </cell>
          <cell r="K26">
            <v>40322</v>
          </cell>
        </row>
        <row r="27">
          <cell r="C27">
            <v>4482377</v>
          </cell>
          <cell r="D27" t="str">
            <v>5100015</v>
          </cell>
          <cell r="E27" t="str">
            <v>PONCE, LISANDRO</v>
          </cell>
          <cell r="F27" t="str">
            <v>DRIVER</v>
          </cell>
          <cell r="G27" t="str">
            <v>Driver</v>
          </cell>
          <cell r="H27" t="str">
            <v>350S</v>
          </cell>
          <cell r="I27" t="str">
            <v>DSP</v>
          </cell>
          <cell r="J27" t="str">
            <v>SSC-350S</v>
          </cell>
          <cell r="K27">
            <v>40322</v>
          </cell>
        </row>
        <row r="28">
          <cell r="C28">
            <v>0</v>
          </cell>
          <cell r="D28" t="str">
            <v>5100014</v>
          </cell>
          <cell r="E28" t="str">
            <v>PATEL, AIJAZ</v>
          </cell>
          <cell r="F28" t="str">
            <v>RTMPS</v>
          </cell>
          <cell r="G28" t="str">
            <v>Route Mapping Specialist</v>
          </cell>
          <cell r="H28">
            <v>0</v>
          </cell>
          <cell r="I28">
            <v>0</v>
          </cell>
          <cell r="J28" t="str">
            <v>SSC-NonEx</v>
          </cell>
          <cell r="K28">
            <v>40651</v>
          </cell>
        </row>
        <row r="29">
          <cell r="C29">
            <v>0</v>
          </cell>
          <cell r="D29" t="str">
            <v>5100014</v>
          </cell>
          <cell r="E29" t="str">
            <v>JUAN, RYAN C.</v>
          </cell>
          <cell r="F29" t="str">
            <v>RTEMS</v>
          </cell>
          <cell r="G29" t="str">
            <v>Route Maintenance Specialist</v>
          </cell>
          <cell r="H29">
            <v>0</v>
          </cell>
          <cell r="I29" t="str">
            <v>DSP</v>
          </cell>
          <cell r="J29" t="str">
            <v>SSC-NonEx</v>
          </cell>
          <cell r="K29">
            <v>40651</v>
          </cell>
        </row>
        <row r="30">
          <cell r="C30">
            <v>0</v>
          </cell>
          <cell r="D30" t="str">
            <v>5100014</v>
          </cell>
          <cell r="E30" t="str">
            <v>CHAN, MIMI M.</v>
          </cell>
          <cell r="F30" t="str">
            <v>RTEMS</v>
          </cell>
          <cell r="G30" t="str">
            <v>Route Maintenance Specialist</v>
          </cell>
          <cell r="H30">
            <v>0</v>
          </cell>
          <cell r="I30" t="str">
            <v>DSP</v>
          </cell>
          <cell r="J30" t="str">
            <v>SSC-NonEx</v>
          </cell>
          <cell r="K30">
            <v>40651</v>
          </cell>
        </row>
        <row r="31">
          <cell r="C31">
            <v>4659822</v>
          </cell>
          <cell r="D31" t="str">
            <v>5100015</v>
          </cell>
          <cell r="E31" t="str">
            <v>GARCIA, CARLOS E.</v>
          </cell>
          <cell r="F31" t="str">
            <v>DRIVER</v>
          </cell>
          <cell r="G31" t="str">
            <v>Driver</v>
          </cell>
          <cell r="H31" t="str">
            <v>350S</v>
          </cell>
          <cell r="I31" t="str">
            <v>DSP</v>
          </cell>
          <cell r="J31" t="str">
            <v>SSC-350S</v>
          </cell>
          <cell r="K31">
            <v>40665</v>
          </cell>
        </row>
        <row r="32">
          <cell r="C32">
            <v>103528</v>
          </cell>
          <cell r="D32" t="str">
            <v>5100015</v>
          </cell>
          <cell r="E32" t="str">
            <v>GIULIACCI, ERIC A.</v>
          </cell>
          <cell r="F32" t="str">
            <v>DRIVER</v>
          </cell>
          <cell r="G32" t="str">
            <v>Driver</v>
          </cell>
          <cell r="H32" t="str">
            <v>350S</v>
          </cell>
          <cell r="I32" t="str">
            <v>DSP</v>
          </cell>
          <cell r="J32" t="str">
            <v>SSC-350S</v>
          </cell>
          <cell r="K32">
            <v>40679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24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109">
          <cell r="C109" t="str">
            <v>EE ID</v>
          </cell>
          <cell r="D109" t="str">
            <v>Home BU</v>
          </cell>
          <cell r="E109" t="str">
            <v>Name</v>
          </cell>
          <cell r="F109" t="str">
            <v>Job Type</v>
          </cell>
          <cell r="G109" t="str">
            <v>Job Description</v>
          </cell>
          <cell r="H109" t="str">
            <v>Union Code</v>
          </cell>
          <cell r="I109" t="str">
            <v>Group</v>
          </cell>
          <cell r="J109" t="str">
            <v>Union Type</v>
          </cell>
          <cell r="K109" t="str">
            <v>Date</v>
          </cell>
          <cell r="L109" t="str">
            <v>Explanation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</sheetData>
      <sheetData sheetId="17"/>
      <sheetData sheetId="18" refreshError="1"/>
      <sheetData sheetId="19">
        <row r="6">
          <cell r="B6">
            <v>41144</v>
          </cell>
          <cell r="C6" t="str">
            <v>5100041</v>
          </cell>
          <cell r="D6" t="str">
            <v>OROPEZA, CENOBIO</v>
          </cell>
          <cell r="E6" t="str">
            <v>DRFTLR</v>
          </cell>
          <cell r="F6" t="str">
            <v>Driver - Frontloader</v>
          </cell>
          <cell r="G6" t="str">
            <v>3</v>
          </cell>
          <cell r="H6" t="str">
            <v>350S</v>
          </cell>
          <cell r="I6">
            <v>24166</v>
          </cell>
          <cell r="J6">
            <v>24292</v>
          </cell>
          <cell r="K6">
            <v>24166</v>
          </cell>
          <cell r="L6" t="str">
            <v>DSP</v>
          </cell>
          <cell r="M6">
            <v>42.23</v>
          </cell>
          <cell r="N6">
            <v>17106</v>
          </cell>
          <cell r="O6">
            <v>627137</v>
          </cell>
          <cell r="P6">
            <v>0</v>
          </cell>
          <cell r="Q6" t="str">
            <v>N</v>
          </cell>
          <cell r="R6">
            <v>0</v>
          </cell>
          <cell r="S6">
            <v>0</v>
          </cell>
          <cell r="T6" t="str">
            <v>Driver - Lead</v>
          </cell>
          <cell r="U6" t="str">
            <v>SSC</v>
          </cell>
          <cell r="V6" t="str">
            <v>350S</v>
          </cell>
        </row>
        <row r="7">
          <cell r="B7">
            <v>38244</v>
          </cell>
          <cell r="C7" t="str">
            <v>5100014</v>
          </cell>
          <cell r="D7" t="str">
            <v>ARMANINI, STEPHEN</v>
          </cell>
          <cell r="E7" t="str">
            <v>FTSTC3</v>
          </cell>
          <cell r="F7" t="str">
            <v>Driver - Fantastic 3</v>
          </cell>
          <cell r="G7" t="str">
            <v>3</v>
          </cell>
          <cell r="H7" t="str">
            <v>350S</v>
          </cell>
          <cell r="I7">
            <v>24940</v>
          </cell>
          <cell r="J7">
            <v>25066</v>
          </cell>
          <cell r="K7">
            <v>24940</v>
          </cell>
          <cell r="L7" t="str">
            <v>DSP</v>
          </cell>
          <cell r="M7">
            <v>42.23</v>
          </cell>
          <cell r="N7">
            <v>17975</v>
          </cell>
          <cell r="O7">
            <v>627137</v>
          </cell>
          <cell r="P7">
            <v>0</v>
          </cell>
          <cell r="Q7" t="str">
            <v>N</v>
          </cell>
          <cell r="R7">
            <v>0</v>
          </cell>
          <cell r="S7">
            <v>0</v>
          </cell>
          <cell r="T7" t="str">
            <v>Driver - Lead</v>
          </cell>
          <cell r="U7" t="str">
            <v>SSC</v>
          </cell>
          <cell r="V7" t="str">
            <v>350S</v>
          </cell>
        </row>
        <row r="8">
          <cell r="B8">
            <v>42374</v>
          </cell>
          <cell r="C8" t="str">
            <v>5100510</v>
          </cell>
          <cell r="D8" t="str">
            <v>AHMADI, ROSEMARIE</v>
          </cell>
          <cell r="E8" t="str">
            <v>ADAST</v>
          </cell>
          <cell r="F8" t="str">
            <v>Admin Assistant</v>
          </cell>
          <cell r="G8" t="str">
            <v>4</v>
          </cell>
          <cell r="H8" t="str">
            <v>350CLR</v>
          </cell>
          <cell r="I8">
            <v>25261</v>
          </cell>
          <cell r="J8">
            <v>1</v>
          </cell>
          <cell r="K8">
            <v>25261</v>
          </cell>
          <cell r="L8" t="str">
            <v>SHP</v>
          </cell>
          <cell r="M8">
            <v>30.529</v>
          </cell>
          <cell r="N8">
            <v>17586</v>
          </cell>
          <cell r="O8">
            <v>58755</v>
          </cell>
          <cell r="P8">
            <v>0</v>
          </cell>
          <cell r="Q8" t="str">
            <v>N</v>
          </cell>
          <cell r="R8">
            <v>0</v>
          </cell>
          <cell r="S8">
            <v>0</v>
          </cell>
          <cell r="T8" t="str">
            <v>350CLR</v>
          </cell>
          <cell r="U8" t="str">
            <v>SSC</v>
          </cell>
          <cell r="V8" t="str">
            <v>350CLR</v>
          </cell>
        </row>
        <row r="9">
          <cell r="B9">
            <v>41347</v>
          </cell>
          <cell r="C9" t="str">
            <v>5100060</v>
          </cell>
          <cell r="D9" t="str">
            <v>BELLOMO JR, LENO A.</v>
          </cell>
          <cell r="E9" t="str">
            <v>FCCMGR</v>
          </cell>
          <cell r="F9" t="str">
            <v>Facility Construction Comm Mgr</v>
          </cell>
          <cell r="G9">
            <v>0</v>
          </cell>
          <cell r="H9">
            <v>0</v>
          </cell>
          <cell r="I9">
            <v>25385</v>
          </cell>
          <cell r="J9">
            <v>25385</v>
          </cell>
          <cell r="K9">
            <v>25385</v>
          </cell>
          <cell r="L9">
            <v>0</v>
          </cell>
          <cell r="M9">
            <v>74.638999999999996</v>
          </cell>
          <cell r="N9">
            <v>18915</v>
          </cell>
          <cell r="O9">
            <v>100773</v>
          </cell>
          <cell r="P9" t="str">
            <v>28</v>
          </cell>
          <cell r="Q9" t="str">
            <v>Y</v>
          </cell>
          <cell r="R9">
            <v>0</v>
          </cell>
          <cell r="S9">
            <v>0</v>
          </cell>
          <cell r="T9" t="str">
            <v>NonU</v>
          </cell>
          <cell r="U9" t="str">
            <v>SSC</v>
          </cell>
          <cell r="V9" t="str">
            <v>NonU</v>
          </cell>
        </row>
        <row r="10">
          <cell r="B10">
            <v>38404</v>
          </cell>
          <cell r="C10" t="str">
            <v>5100060</v>
          </cell>
          <cell r="D10" t="str">
            <v>BORGHELLO, RICHARD</v>
          </cell>
          <cell r="E10" t="str">
            <v>OPSMG</v>
          </cell>
          <cell r="F10" t="str">
            <v>Operations Manager</v>
          </cell>
          <cell r="G10" t="str">
            <v>3</v>
          </cell>
          <cell r="H10">
            <v>0</v>
          </cell>
          <cell r="I10">
            <v>25713</v>
          </cell>
          <cell r="J10">
            <v>25713</v>
          </cell>
          <cell r="K10">
            <v>25713</v>
          </cell>
          <cell r="L10" t="str">
            <v>MG1</v>
          </cell>
          <cell r="M10">
            <v>52.526000000000003</v>
          </cell>
          <cell r="N10">
            <v>17818</v>
          </cell>
          <cell r="O10">
            <v>101354</v>
          </cell>
          <cell r="P10" t="str">
            <v>24</v>
          </cell>
          <cell r="Q10" t="str">
            <v>Y</v>
          </cell>
          <cell r="R10">
            <v>0</v>
          </cell>
          <cell r="S10">
            <v>0</v>
          </cell>
          <cell r="T10" t="str">
            <v>NonU</v>
          </cell>
          <cell r="U10" t="str">
            <v>SSC</v>
          </cell>
          <cell r="V10" t="str">
            <v>NonU</v>
          </cell>
        </row>
        <row r="11">
          <cell r="B11">
            <v>38594</v>
          </cell>
          <cell r="C11" t="str">
            <v>5100014</v>
          </cell>
          <cell r="D11" t="str">
            <v>LAVEZZOLI, THOMAS K.</v>
          </cell>
          <cell r="E11" t="str">
            <v>DSPCH</v>
          </cell>
          <cell r="F11" t="str">
            <v>Dispatcher</v>
          </cell>
          <cell r="G11" t="str">
            <v>2</v>
          </cell>
          <cell r="H11">
            <v>0</v>
          </cell>
          <cell r="I11">
            <v>25725</v>
          </cell>
          <cell r="J11">
            <v>25851</v>
          </cell>
          <cell r="K11">
            <v>25725</v>
          </cell>
          <cell r="L11" t="str">
            <v>DSP</v>
          </cell>
          <cell r="M11">
            <v>35.409999999999997</v>
          </cell>
          <cell r="N11">
            <v>18251</v>
          </cell>
          <cell r="O11">
            <v>450175</v>
          </cell>
          <cell r="P11" t="str">
            <v>22</v>
          </cell>
          <cell r="Q11" t="str">
            <v>Y</v>
          </cell>
          <cell r="R11">
            <v>0</v>
          </cell>
          <cell r="S11">
            <v>0</v>
          </cell>
          <cell r="T11" t="str">
            <v>NonU</v>
          </cell>
          <cell r="U11" t="str">
            <v>SSC</v>
          </cell>
          <cell r="V11" t="str">
            <v>NonU</v>
          </cell>
        </row>
        <row r="12">
          <cell r="B12">
            <v>41179</v>
          </cell>
          <cell r="C12" t="str">
            <v>5100041</v>
          </cell>
          <cell r="D12" t="str">
            <v>RATTARO, FRED</v>
          </cell>
          <cell r="E12" t="str">
            <v>DRFTLR</v>
          </cell>
          <cell r="F12" t="str">
            <v>Driver - Frontloader</v>
          </cell>
          <cell r="G12" t="str">
            <v>3</v>
          </cell>
          <cell r="H12" t="str">
            <v>350S</v>
          </cell>
          <cell r="I12">
            <v>26210</v>
          </cell>
          <cell r="J12">
            <v>26336</v>
          </cell>
          <cell r="K12">
            <v>26210</v>
          </cell>
          <cell r="L12" t="str">
            <v>DSP</v>
          </cell>
          <cell r="M12">
            <v>42.23</v>
          </cell>
          <cell r="N12">
            <v>18905</v>
          </cell>
          <cell r="O12">
            <v>627137</v>
          </cell>
          <cell r="P12">
            <v>0</v>
          </cell>
          <cell r="Q12" t="str">
            <v>N</v>
          </cell>
          <cell r="R12">
            <v>0</v>
          </cell>
          <cell r="S12">
            <v>0</v>
          </cell>
          <cell r="T12" t="str">
            <v>Driver - Lead</v>
          </cell>
          <cell r="U12" t="str">
            <v>SSC</v>
          </cell>
          <cell r="V12" t="str">
            <v>350S</v>
          </cell>
        </row>
        <row r="13">
          <cell r="B13">
            <v>38990</v>
          </cell>
          <cell r="C13" t="str">
            <v>5100041</v>
          </cell>
          <cell r="D13" t="str">
            <v>TAMARESIS, DOROTHY P</v>
          </cell>
          <cell r="E13" t="str">
            <v>RTEAC</v>
          </cell>
          <cell r="F13" t="str">
            <v>Route Assignment Coordinator</v>
          </cell>
          <cell r="G13" t="str">
            <v>4</v>
          </cell>
          <cell r="H13" t="str">
            <v>350CLR</v>
          </cell>
          <cell r="I13">
            <v>26343</v>
          </cell>
          <cell r="J13">
            <v>1</v>
          </cell>
          <cell r="K13">
            <v>26343</v>
          </cell>
          <cell r="L13" t="str">
            <v>DSP</v>
          </cell>
          <cell r="M13">
            <v>35.298000000000002</v>
          </cell>
          <cell r="N13">
            <v>17853</v>
          </cell>
          <cell r="O13">
            <v>83141</v>
          </cell>
          <cell r="P13">
            <v>0</v>
          </cell>
          <cell r="Q13" t="str">
            <v>N</v>
          </cell>
          <cell r="R13">
            <v>0</v>
          </cell>
          <cell r="S13">
            <v>0</v>
          </cell>
          <cell r="T13" t="str">
            <v>350CLR</v>
          </cell>
          <cell r="U13" t="str">
            <v>SSC</v>
          </cell>
          <cell r="V13" t="str">
            <v>350CLR</v>
          </cell>
        </row>
        <row r="14">
          <cell r="B14">
            <v>40168</v>
          </cell>
          <cell r="C14" t="str">
            <v>5100014</v>
          </cell>
          <cell r="D14" t="str">
            <v>GOMEZ, ALFONSO</v>
          </cell>
          <cell r="E14" t="str">
            <v>FTSTC3</v>
          </cell>
          <cell r="F14" t="str">
            <v>Driver - Fantastic 3</v>
          </cell>
          <cell r="G14" t="str">
            <v>3</v>
          </cell>
          <cell r="H14" t="str">
            <v>350S</v>
          </cell>
          <cell r="I14">
            <v>26481</v>
          </cell>
          <cell r="J14">
            <v>26607</v>
          </cell>
          <cell r="K14">
            <v>26481</v>
          </cell>
          <cell r="L14" t="str">
            <v>DSP</v>
          </cell>
          <cell r="M14">
            <v>42.23</v>
          </cell>
          <cell r="N14">
            <v>18508</v>
          </cell>
          <cell r="O14">
            <v>627137</v>
          </cell>
          <cell r="P14">
            <v>0</v>
          </cell>
          <cell r="Q14" t="str">
            <v>N</v>
          </cell>
          <cell r="R14">
            <v>0</v>
          </cell>
          <cell r="S14">
            <v>0</v>
          </cell>
          <cell r="T14" t="str">
            <v>Driver - Lead</v>
          </cell>
          <cell r="U14" t="str">
            <v>SSC</v>
          </cell>
          <cell r="V14" t="str">
            <v>350S</v>
          </cell>
        </row>
        <row r="15">
          <cell r="B15">
            <v>41056</v>
          </cell>
          <cell r="C15" t="str">
            <v>5100041</v>
          </cell>
          <cell r="D15" t="str">
            <v>DITO, VINCENZO</v>
          </cell>
          <cell r="E15" t="str">
            <v>DRFTLR</v>
          </cell>
          <cell r="F15" t="str">
            <v>Driver - Frontloader</v>
          </cell>
          <cell r="G15" t="str">
            <v>3</v>
          </cell>
          <cell r="H15" t="str">
            <v>350S</v>
          </cell>
          <cell r="I15">
            <v>26490</v>
          </cell>
          <cell r="J15">
            <v>26616</v>
          </cell>
          <cell r="K15">
            <v>26490</v>
          </cell>
          <cell r="L15" t="str">
            <v>DSP</v>
          </cell>
          <cell r="M15">
            <v>42.23</v>
          </cell>
          <cell r="N15">
            <v>18266</v>
          </cell>
          <cell r="O15">
            <v>627137</v>
          </cell>
          <cell r="P15">
            <v>0</v>
          </cell>
          <cell r="Q15" t="str">
            <v>N</v>
          </cell>
          <cell r="R15">
            <v>0</v>
          </cell>
          <cell r="S15">
            <v>0</v>
          </cell>
          <cell r="T15" t="str">
            <v>Driver - Lead</v>
          </cell>
          <cell r="U15" t="str">
            <v>SSC</v>
          </cell>
          <cell r="V15" t="str">
            <v>350S</v>
          </cell>
        </row>
        <row r="16">
          <cell r="B16">
            <v>41064</v>
          </cell>
          <cell r="C16" t="str">
            <v>5100041</v>
          </cell>
          <cell r="D16" t="str">
            <v>DUTRA, HAROLD</v>
          </cell>
          <cell r="E16" t="str">
            <v>DRFTLR</v>
          </cell>
          <cell r="F16" t="str">
            <v>Driver - Frontloader</v>
          </cell>
          <cell r="G16" t="str">
            <v>3</v>
          </cell>
          <cell r="H16" t="str">
            <v>350S</v>
          </cell>
          <cell r="I16">
            <v>26573</v>
          </cell>
          <cell r="J16">
            <v>26700</v>
          </cell>
          <cell r="K16">
            <v>26573</v>
          </cell>
          <cell r="L16" t="str">
            <v>DSP</v>
          </cell>
          <cell r="M16">
            <v>42.23</v>
          </cell>
          <cell r="N16">
            <v>16588</v>
          </cell>
          <cell r="O16">
            <v>627137</v>
          </cell>
          <cell r="P16">
            <v>0</v>
          </cell>
          <cell r="Q16" t="str">
            <v>N</v>
          </cell>
          <cell r="R16">
            <v>0</v>
          </cell>
          <cell r="S16">
            <v>0</v>
          </cell>
          <cell r="T16" t="str">
            <v>Driver - Lead</v>
          </cell>
          <cell r="U16" t="str">
            <v>SSC</v>
          </cell>
          <cell r="V16" t="str">
            <v>350S</v>
          </cell>
        </row>
        <row r="17">
          <cell r="B17">
            <v>41945</v>
          </cell>
          <cell r="C17" t="str">
            <v>5100510</v>
          </cell>
          <cell r="D17" t="str">
            <v>FRAGULIA, EMILE L.</v>
          </cell>
          <cell r="E17" t="str">
            <v>MECH</v>
          </cell>
          <cell r="F17" t="str">
            <v>Mechanic</v>
          </cell>
          <cell r="G17" t="str">
            <v>3</v>
          </cell>
          <cell r="H17" t="str">
            <v>350S</v>
          </cell>
          <cell r="I17">
            <v>26639</v>
          </cell>
          <cell r="J17">
            <v>26766</v>
          </cell>
          <cell r="K17">
            <v>26639</v>
          </cell>
          <cell r="L17" t="str">
            <v>SHP</v>
          </cell>
          <cell r="M17">
            <v>43.26</v>
          </cell>
          <cell r="N17">
            <v>19616</v>
          </cell>
          <cell r="O17">
            <v>58755</v>
          </cell>
          <cell r="P17">
            <v>0</v>
          </cell>
          <cell r="Q17" t="str">
            <v>N</v>
          </cell>
          <cell r="R17">
            <v>0</v>
          </cell>
          <cell r="S17">
            <v>0</v>
          </cell>
          <cell r="T17" t="str">
            <v>350S</v>
          </cell>
          <cell r="U17" t="str">
            <v>SSC</v>
          </cell>
          <cell r="V17" t="str">
            <v>350S</v>
          </cell>
        </row>
        <row r="18">
          <cell r="B18">
            <v>39589</v>
          </cell>
          <cell r="C18" t="str">
            <v>5100014</v>
          </cell>
          <cell r="D18" t="str">
            <v>OROPEZA, GUADALUPE</v>
          </cell>
          <cell r="E18" t="str">
            <v>FTSTC3</v>
          </cell>
          <cell r="F18" t="str">
            <v>Driver - Fantastic 3</v>
          </cell>
          <cell r="G18" t="str">
            <v>3</v>
          </cell>
          <cell r="H18" t="str">
            <v>350S</v>
          </cell>
          <cell r="I18">
            <v>26672</v>
          </cell>
          <cell r="J18">
            <v>26798</v>
          </cell>
          <cell r="K18">
            <v>26672</v>
          </cell>
          <cell r="L18" t="str">
            <v>DSP</v>
          </cell>
          <cell r="M18">
            <v>42.23</v>
          </cell>
          <cell r="N18">
            <v>14203</v>
          </cell>
          <cell r="O18">
            <v>93497</v>
          </cell>
          <cell r="P18">
            <v>0</v>
          </cell>
          <cell r="Q18" t="str">
            <v>N</v>
          </cell>
          <cell r="R18">
            <v>0</v>
          </cell>
          <cell r="S18">
            <v>0</v>
          </cell>
          <cell r="T18" t="str">
            <v>Driver - Lead</v>
          </cell>
          <cell r="U18" t="str">
            <v>SSC</v>
          </cell>
          <cell r="V18" t="str">
            <v>350S</v>
          </cell>
        </row>
        <row r="19">
          <cell r="B19">
            <v>41654</v>
          </cell>
          <cell r="C19" t="str">
            <v>5100120</v>
          </cell>
          <cell r="D19" t="str">
            <v>BRENGOLINI, RON</v>
          </cell>
          <cell r="E19" t="str">
            <v>DRCOM</v>
          </cell>
          <cell r="F19" t="str">
            <v>Driver - Commercial</v>
          </cell>
          <cell r="G19" t="str">
            <v>3</v>
          </cell>
          <cell r="H19" t="str">
            <v>350S</v>
          </cell>
          <cell r="I19">
            <v>26672</v>
          </cell>
          <cell r="J19">
            <v>26798</v>
          </cell>
          <cell r="K19">
            <v>26672</v>
          </cell>
          <cell r="L19" t="str">
            <v>DSP</v>
          </cell>
          <cell r="M19">
            <v>42.23</v>
          </cell>
          <cell r="N19">
            <v>18528</v>
          </cell>
          <cell r="O19">
            <v>627137</v>
          </cell>
          <cell r="P19">
            <v>0</v>
          </cell>
          <cell r="Q19" t="str">
            <v>N</v>
          </cell>
          <cell r="R19">
            <v>0</v>
          </cell>
          <cell r="S19">
            <v>0</v>
          </cell>
          <cell r="T19" t="str">
            <v>Driver - Lead</v>
          </cell>
          <cell r="U19" t="str">
            <v>SSC</v>
          </cell>
          <cell r="V19" t="str">
            <v>350S</v>
          </cell>
        </row>
        <row r="20">
          <cell r="B20">
            <v>41101</v>
          </cell>
          <cell r="C20" t="str">
            <v>5100041</v>
          </cell>
          <cell r="D20" t="str">
            <v>GHILARDUCCI, FEDERICO</v>
          </cell>
          <cell r="E20" t="str">
            <v>DRFTLR</v>
          </cell>
          <cell r="F20" t="str">
            <v>Driver - Frontloader</v>
          </cell>
          <cell r="G20" t="str">
            <v>3</v>
          </cell>
          <cell r="H20" t="str">
            <v>350S</v>
          </cell>
          <cell r="I20">
            <v>26693</v>
          </cell>
          <cell r="J20">
            <v>26819</v>
          </cell>
          <cell r="K20">
            <v>26693</v>
          </cell>
          <cell r="L20" t="str">
            <v>DSP</v>
          </cell>
          <cell r="M20">
            <v>42.23</v>
          </cell>
          <cell r="N20">
            <v>19052</v>
          </cell>
          <cell r="O20">
            <v>627137</v>
          </cell>
          <cell r="P20">
            <v>0</v>
          </cell>
          <cell r="Q20" t="str">
            <v>N</v>
          </cell>
          <cell r="R20">
            <v>0</v>
          </cell>
          <cell r="S20">
            <v>0</v>
          </cell>
          <cell r="T20" t="str">
            <v>Driver - Lead</v>
          </cell>
          <cell r="U20" t="str">
            <v>SSC</v>
          </cell>
          <cell r="V20" t="str">
            <v>350S</v>
          </cell>
        </row>
        <row r="21">
          <cell r="B21">
            <v>41700</v>
          </cell>
          <cell r="C21" t="str">
            <v>5100120</v>
          </cell>
          <cell r="D21" t="str">
            <v>MUNOZ, JOSE LUIS</v>
          </cell>
          <cell r="E21" t="str">
            <v>DRCOM</v>
          </cell>
          <cell r="F21" t="str">
            <v>Driver - Commercial</v>
          </cell>
          <cell r="G21" t="str">
            <v>3</v>
          </cell>
          <cell r="H21" t="str">
            <v>350S</v>
          </cell>
          <cell r="I21">
            <v>27099</v>
          </cell>
          <cell r="J21">
            <v>27225</v>
          </cell>
          <cell r="K21">
            <v>27099</v>
          </cell>
          <cell r="L21" t="str">
            <v>DSP</v>
          </cell>
          <cell r="M21">
            <v>42.23</v>
          </cell>
          <cell r="N21">
            <v>19154</v>
          </cell>
          <cell r="O21">
            <v>658179</v>
          </cell>
          <cell r="P21">
            <v>0</v>
          </cell>
          <cell r="Q21" t="str">
            <v>N</v>
          </cell>
          <cell r="R21">
            <v>0</v>
          </cell>
          <cell r="S21">
            <v>0</v>
          </cell>
          <cell r="T21" t="str">
            <v>Driver - Lead</v>
          </cell>
          <cell r="U21" t="str">
            <v>SSC</v>
          </cell>
          <cell r="V21" t="str">
            <v>350S</v>
          </cell>
        </row>
        <row r="22">
          <cell r="B22">
            <v>38391</v>
          </cell>
          <cell r="C22" t="str">
            <v>5100014</v>
          </cell>
          <cell r="D22" t="str">
            <v>BONGI, WILLIAM</v>
          </cell>
          <cell r="E22" t="str">
            <v>FTSTC3</v>
          </cell>
          <cell r="F22" t="str">
            <v>Driver - Fantastic 3</v>
          </cell>
          <cell r="G22" t="str">
            <v>3</v>
          </cell>
          <cell r="H22" t="str">
            <v>350S</v>
          </cell>
          <cell r="I22">
            <v>27190</v>
          </cell>
          <cell r="J22">
            <v>27316</v>
          </cell>
          <cell r="K22">
            <v>27190</v>
          </cell>
          <cell r="L22" t="str">
            <v>DSP</v>
          </cell>
          <cell r="M22">
            <v>42.23</v>
          </cell>
          <cell r="N22">
            <v>20519</v>
          </cell>
          <cell r="O22">
            <v>627137</v>
          </cell>
          <cell r="P22">
            <v>0</v>
          </cell>
          <cell r="Q22" t="str">
            <v>N</v>
          </cell>
          <cell r="R22">
            <v>0</v>
          </cell>
          <cell r="S22">
            <v>0</v>
          </cell>
          <cell r="T22" t="str">
            <v>Driver - Lead</v>
          </cell>
          <cell r="U22" t="str">
            <v>SSC</v>
          </cell>
          <cell r="V22" t="str">
            <v>350S</v>
          </cell>
        </row>
        <row r="23">
          <cell r="B23">
            <v>38252</v>
          </cell>
          <cell r="C23" t="str">
            <v>5100014</v>
          </cell>
          <cell r="D23" t="str">
            <v>ARMANINI JR, ALBERT</v>
          </cell>
          <cell r="E23" t="str">
            <v>FTSTC3</v>
          </cell>
          <cell r="F23" t="str">
            <v>Driver - Fantastic 3</v>
          </cell>
          <cell r="G23" t="str">
            <v>3</v>
          </cell>
          <cell r="H23" t="str">
            <v>350S</v>
          </cell>
          <cell r="I23">
            <v>27197</v>
          </cell>
          <cell r="J23">
            <v>27323</v>
          </cell>
          <cell r="K23">
            <v>27197</v>
          </cell>
          <cell r="L23" t="str">
            <v>DSP</v>
          </cell>
          <cell r="M23">
            <v>42.23</v>
          </cell>
          <cell r="N23">
            <v>20615</v>
          </cell>
          <cell r="O23">
            <v>39239</v>
          </cell>
          <cell r="P23">
            <v>0</v>
          </cell>
          <cell r="Q23" t="str">
            <v>N</v>
          </cell>
          <cell r="R23">
            <v>0</v>
          </cell>
          <cell r="S23">
            <v>0</v>
          </cell>
          <cell r="T23" t="str">
            <v>Driver - Lead</v>
          </cell>
          <cell r="U23" t="str">
            <v>SSC</v>
          </cell>
          <cell r="V23" t="str">
            <v>350S</v>
          </cell>
        </row>
        <row r="24">
          <cell r="B24">
            <v>38324</v>
          </cell>
          <cell r="C24" t="str">
            <v>5100014</v>
          </cell>
          <cell r="D24" t="str">
            <v>BARBA, LUIS</v>
          </cell>
          <cell r="E24" t="str">
            <v>FTSTC3</v>
          </cell>
          <cell r="F24" t="str">
            <v>Driver - Fantastic 3</v>
          </cell>
          <cell r="G24" t="str">
            <v>3</v>
          </cell>
          <cell r="H24" t="str">
            <v>350S</v>
          </cell>
          <cell r="I24">
            <v>27260</v>
          </cell>
          <cell r="J24">
            <v>27386</v>
          </cell>
          <cell r="K24">
            <v>27260</v>
          </cell>
          <cell r="L24" t="str">
            <v>DSP</v>
          </cell>
          <cell r="M24">
            <v>42.23</v>
          </cell>
          <cell r="N24">
            <v>18435</v>
          </cell>
          <cell r="O24">
            <v>83141</v>
          </cell>
          <cell r="P24">
            <v>0</v>
          </cell>
          <cell r="Q24" t="str">
            <v>N</v>
          </cell>
          <cell r="R24">
            <v>0</v>
          </cell>
          <cell r="S24">
            <v>0</v>
          </cell>
          <cell r="T24" t="str">
            <v>Driver - Lead</v>
          </cell>
          <cell r="U24" t="str">
            <v>SSC</v>
          </cell>
          <cell r="V24" t="str">
            <v>350S</v>
          </cell>
        </row>
        <row r="25">
          <cell r="B25">
            <v>40395</v>
          </cell>
          <cell r="C25" t="str">
            <v>5100060</v>
          </cell>
          <cell r="D25" t="str">
            <v>LOPEZ II, RAFAEL</v>
          </cell>
          <cell r="E25" t="str">
            <v>DRDBOX</v>
          </cell>
          <cell r="F25" t="str">
            <v>Driver - Debris Box</v>
          </cell>
          <cell r="G25" t="str">
            <v>3</v>
          </cell>
          <cell r="H25" t="str">
            <v>350S</v>
          </cell>
          <cell r="I25">
            <v>27281</v>
          </cell>
          <cell r="J25">
            <v>27407</v>
          </cell>
          <cell r="K25">
            <v>27281</v>
          </cell>
          <cell r="L25" t="str">
            <v>COM</v>
          </cell>
          <cell r="M25">
            <v>42.23</v>
          </cell>
          <cell r="N25">
            <v>19693</v>
          </cell>
          <cell r="O25">
            <v>38404</v>
          </cell>
          <cell r="P25">
            <v>0</v>
          </cell>
          <cell r="Q25" t="str">
            <v>N</v>
          </cell>
          <cell r="R25">
            <v>0</v>
          </cell>
          <cell r="S25">
            <v>0</v>
          </cell>
          <cell r="T25" t="str">
            <v>Driver - Lead</v>
          </cell>
          <cell r="U25" t="str">
            <v>SSC</v>
          </cell>
          <cell r="V25" t="str">
            <v>350S</v>
          </cell>
        </row>
        <row r="26">
          <cell r="B26">
            <v>38754</v>
          </cell>
          <cell r="C26" t="str">
            <v>5100014</v>
          </cell>
          <cell r="D26" t="str">
            <v>PESCE, DAVID</v>
          </cell>
          <cell r="E26" t="str">
            <v>FTSTC3</v>
          </cell>
          <cell r="F26" t="str">
            <v>Driver - Fantastic 3</v>
          </cell>
          <cell r="G26" t="str">
            <v>3</v>
          </cell>
          <cell r="H26" t="str">
            <v>350S</v>
          </cell>
          <cell r="I26">
            <v>27557</v>
          </cell>
          <cell r="J26">
            <v>27683</v>
          </cell>
          <cell r="K26">
            <v>27557</v>
          </cell>
          <cell r="L26" t="str">
            <v>DSP</v>
          </cell>
          <cell r="M26">
            <v>42.23</v>
          </cell>
          <cell r="N26">
            <v>20977</v>
          </cell>
          <cell r="O26">
            <v>627137</v>
          </cell>
          <cell r="P26">
            <v>0</v>
          </cell>
          <cell r="Q26" t="str">
            <v>N</v>
          </cell>
          <cell r="R26">
            <v>0</v>
          </cell>
          <cell r="S26">
            <v>0</v>
          </cell>
          <cell r="T26" t="str">
            <v>Driver - Lead</v>
          </cell>
          <cell r="U26" t="str">
            <v>SSC</v>
          </cell>
          <cell r="V26" t="str">
            <v>350S</v>
          </cell>
        </row>
        <row r="27">
          <cell r="B27">
            <v>38674</v>
          </cell>
          <cell r="C27" t="str">
            <v>5100014</v>
          </cell>
          <cell r="D27" t="str">
            <v>MARTIN, RAFAEL</v>
          </cell>
          <cell r="E27" t="str">
            <v>FTSTC3</v>
          </cell>
          <cell r="F27" t="str">
            <v>Driver - Fantastic 3</v>
          </cell>
          <cell r="G27" t="str">
            <v>3</v>
          </cell>
          <cell r="H27" t="str">
            <v>350S</v>
          </cell>
          <cell r="I27">
            <v>27599</v>
          </cell>
          <cell r="J27">
            <v>27725</v>
          </cell>
          <cell r="K27">
            <v>27599</v>
          </cell>
          <cell r="L27" t="str">
            <v>DSP</v>
          </cell>
          <cell r="M27">
            <v>42.23</v>
          </cell>
          <cell r="N27">
            <v>20524</v>
          </cell>
          <cell r="O27">
            <v>627137</v>
          </cell>
          <cell r="P27">
            <v>0</v>
          </cell>
          <cell r="Q27" t="str">
            <v>N</v>
          </cell>
          <cell r="R27">
            <v>0</v>
          </cell>
          <cell r="S27">
            <v>0</v>
          </cell>
          <cell r="T27" t="str">
            <v>Driver - Lead</v>
          </cell>
          <cell r="U27" t="str">
            <v>SSC</v>
          </cell>
          <cell r="V27" t="str">
            <v>350S</v>
          </cell>
        </row>
        <row r="28">
          <cell r="B28">
            <v>39933</v>
          </cell>
          <cell r="C28" t="str">
            <v>5100013</v>
          </cell>
          <cell r="D28" t="str">
            <v>BRUSCO, MICHAEL</v>
          </cell>
          <cell r="E28" t="str">
            <v>DRBIC</v>
          </cell>
          <cell r="F28" t="str">
            <v>Driver - BIC</v>
          </cell>
          <cell r="G28" t="str">
            <v>3</v>
          </cell>
          <cell r="H28" t="str">
            <v>350S</v>
          </cell>
          <cell r="I28">
            <v>27939</v>
          </cell>
          <cell r="J28">
            <v>28065</v>
          </cell>
          <cell r="K28">
            <v>27939</v>
          </cell>
          <cell r="L28" t="str">
            <v>DSP</v>
          </cell>
          <cell r="M28">
            <v>42.23</v>
          </cell>
          <cell r="N28">
            <v>19734</v>
          </cell>
          <cell r="O28">
            <v>38404</v>
          </cell>
          <cell r="P28">
            <v>0</v>
          </cell>
          <cell r="Q28" t="str">
            <v>N</v>
          </cell>
          <cell r="R28">
            <v>0</v>
          </cell>
          <cell r="S28">
            <v>0</v>
          </cell>
          <cell r="T28" t="str">
            <v>Driver - BIC</v>
          </cell>
          <cell r="U28" t="str">
            <v>SSC</v>
          </cell>
          <cell r="V28" t="str">
            <v>350S</v>
          </cell>
        </row>
        <row r="29">
          <cell r="B29">
            <v>39651</v>
          </cell>
          <cell r="C29" t="str">
            <v>5100014</v>
          </cell>
          <cell r="D29" t="str">
            <v>ROSELLI, STEVEN</v>
          </cell>
          <cell r="E29" t="str">
            <v>FTSTC3</v>
          </cell>
          <cell r="F29" t="str">
            <v>Driver - Fantastic 3</v>
          </cell>
          <cell r="G29" t="str">
            <v>3</v>
          </cell>
          <cell r="H29" t="str">
            <v>350S</v>
          </cell>
          <cell r="I29">
            <v>28289</v>
          </cell>
          <cell r="J29">
            <v>28415</v>
          </cell>
          <cell r="K29">
            <v>28289</v>
          </cell>
          <cell r="L29" t="str">
            <v>DSP</v>
          </cell>
          <cell r="M29">
            <v>42.23</v>
          </cell>
          <cell r="N29">
            <v>21764</v>
          </cell>
          <cell r="O29">
            <v>627137</v>
          </cell>
          <cell r="P29">
            <v>0</v>
          </cell>
          <cell r="Q29" t="str">
            <v>N</v>
          </cell>
          <cell r="R29">
            <v>0</v>
          </cell>
          <cell r="S29">
            <v>0</v>
          </cell>
          <cell r="T29" t="str">
            <v>Driver - Lead</v>
          </cell>
          <cell r="U29" t="str">
            <v>SSC</v>
          </cell>
          <cell r="V29" t="str">
            <v>350S</v>
          </cell>
        </row>
        <row r="30">
          <cell r="B30">
            <v>38738</v>
          </cell>
          <cell r="C30" t="str">
            <v>5100041</v>
          </cell>
          <cell r="D30" t="str">
            <v>PACCHETTI, JOHN P.</v>
          </cell>
          <cell r="E30" t="str">
            <v>DRIVER</v>
          </cell>
          <cell r="F30" t="str">
            <v>Driver</v>
          </cell>
          <cell r="G30" t="str">
            <v>3</v>
          </cell>
          <cell r="H30" t="str">
            <v>350S</v>
          </cell>
          <cell r="I30">
            <v>28296</v>
          </cell>
          <cell r="J30">
            <v>28422</v>
          </cell>
          <cell r="K30">
            <v>28296</v>
          </cell>
          <cell r="L30" t="str">
            <v>FLD</v>
          </cell>
          <cell r="M30">
            <v>42.23</v>
          </cell>
          <cell r="N30">
            <v>20363</v>
          </cell>
          <cell r="O30">
            <v>41380</v>
          </cell>
          <cell r="P30">
            <v>0</v>
          </cell>
          <cell r="Q30" t="str">
            <v>N</v>
          </cell>
          <cell r="R30">
            <v>0</v>
          </cell>
          <cell r="S30">
            <v>0</v>
          </cell>
          <cell r="T30" t="str">
            <v>Driver - Reg.</v>
          </cell>
          <cell r="U30" t="str">
            <v>SSC</v>
          </cell>
          <cell r="V30" t="str">
            <v>350S</v>
          </cell>
        </row>
        <row r="31">
          <cell r="B31">
            <v>38800</v>
          </cell>
          <cell r="C31" t="str">
            <v>5100014</v>
          </cell>
          <cell r="D31" t="str">
            <v>RUBALCAVA, RAUL</v>
          </cell>
          <cell r="E31" t="str">
            <v>HELPER</v>
          </cell>
          <cell r="F31" t="str">
            <v>Helper</v>
          </cell>
          <cell r="G31" t="str">
            <v>3</v>
          </cell>
          <cell r="H31" t="str">
            <v>350S</v>
          </cell>
          <cell r="I31">
            <v>28296</v>
          </cell>
          <cell r="J31">
            <v>28422</v>
          </cell>
          <cell r="K31">
            <v>28296</v>
          </cell>
          <cell r="L31" t="str">
            <v>DSP</v>
          </cell>
          <cell r="M31">
            <v>40.18</v>
          </cell>
          <cell r="N31">
            <v>21383</v>
          </cell>
          <cell r="O31">
            <v>627137</v>
          </cell>
          <cell r="P31">
            <v>0</v>
          </cell>
          <cell r="Q31" t="str">
            <v>N</v>
          </cell>
          <cell r="R31">
            <v>0</v>
          </cell>
          <cell r="S31">
            <v>0</v>
          </cell>
          <cell r="T31" t="str">
            <v>Helper</v>
          </cell>
          <cell r="U31" t="str">
            <v>SSC</v>
          </cell>
          <cell r="V31" t="str">
            <v>350S</v>
          </cell>
        </row>
        <row r="32">
          <cell r="B32">
            <v>40133</v>
          </cell>
          <cell r="C32" t="str">
            <v>5100510</v>
          </cell>
          <cell r="D32" t="str">
            <v>FLEMING, ANTHONY</v>
          </cell>
          <cell r="E32" t="str">
            <v>HELPER</v>
          </cell>
          <cell r="F32" t="str">
            <v>Helper</v>
          </cell>
          <cell r="G32" t="str">
            <v>3</v>
          </cell>
          <cell r="H32" t="str">
            <v>350S</v>
          </cell>
          <cell r="I32">
            <v>28303</v>
          </cell>
          <cell r="J32">
            <v>28429</v>
          </cell>
          <cell r="K32">
            <v>28303</v>
          </cell>
          <cell r="L32" t="str">
            <v>SHP</v>
          </cell>
          <cell r="M32">
            <v>40.18</v>
          </cell>
          <cell r="N32">
            <v>21246</v>
          </cell>
          <cell r="O32">
            <v>2364879</v>
          </cell>
          <cell r="P32">
            <v>0</v>
          </cell>
          <cell r="Q32" t="str">
            <v>N</v>
          </cell>
          <cell r="R32">
            <v>0</v>
          </cell>
          <cell r="S32">
            <v>0</v>
          </cell>
          <cell r="T32" t="str">
            <v>Helper</v>
          </cell>
          <cell r="U32" t="str">
            <v>SSC</v>
          </cell>
          <cell r="V32" t="str">
            <v>350S</v>
          </cell>
        </row>
        <row r="33">
          <cell r="B33">
            <v>40723</v>
          </cell>
          <cell r="C33" t="str">
            <v>5100013</v>
          </cell>
          <cell r="D33" t="str">
            <v>WONG, WARREN</v>
          </cell>
          <cell r="E33" t="str">
            <v>DRBIC</v>
          </cell>
          <cell r="F33" t="str">
            <v>Driver - BIC</v>
          </cell>
          <cell r="G33" t="str">
            <v>3</v>
          </cell>
          <cell r="H33" t="str">
            <v>350S</v>
          </cell>
          <cell r="I33">
            <v>28311</v>
          </cell>
          <cell r="J33">
            <v>28437</v>
          </cell>
          <cell r="K33">
            <v>28311</v>
          </cell>
          <cell r="L33" t="str">
            <v>DSP</v>
          </cell>
          <cell r="M33">
            <v>42.23</v>
          </cell>
          <cell r="N33">
            <v>20720</v>
          </cell>
          <cell r="O33">
            <v>20693</v>
          </cell>
          <cell r="P33">
            <v>0</v>
          </cell>
          <cell r="Q33" t="str">
            <v>N</v>
          </cell>
          <cell r="R33">
            <v>0</v>
          </cell>
          <cell r="S33">
            <v>0</v>
          </cell>
          <cell r="T33" t="str">
            <v>Driver - BIC</v>
          </cell>
          <cell r="U33" t="str">
            <v>SSC</v>
          </cell>
          <cell r="V33" t="str">
            <v>350S</v>
          </cell>
        </row>
        <row r="34">
          <cell r="B34">
            <v>39108</v>
          </cell>
          <cell r="C34" t="str">
            <v>5100014</v>
          </cell>
          <cell r="D34" t="str">
            <v>BORG, ANGELO</v>
          </cell>
          <cell r="E34" t="str">
            <v>FTSTC3</v>
          </cell>
          <cell r="F34" t="str">
            <v>Driver - Fantastic 3</v>
          </cell>
          <cell r="G34" t="str">
            <v>3</v>
          </cell>
          <cell r="H34" t="str">
            <v>350S</v>
          </cell>
          <cell r="I34">
            <v>28317</v>
          </cell>
          <cell r="J34">
            <v>28443</v>
          </cell>
          <cell r="K34">
            <v>28317</v>
          </cell>
          <cell r="L34" t="str">
            <v>DSP</v>
          </cell>
          <cell r="M34">
            <v>42.23</v>
          </cell>
          <cell r="N34">
            <v>21816</v>
          </cell>
          <cell r="O34">
            <v>627137</v>
          </cell>
          <cell r="P34">
            <v>0</v>
          </cell>
          <cell r="Q34" t="str">
            <v>N</v>
          </cell>
          <cell r="R34">
            <v>0</v>
          </cell>
          <cell r="S34">
            <v>0</v>
          </cell>
          <cell r="T34" t="str">
            <v>Driver - Lead</v>
          </cell>
          <cell r="U34" t="str">
            <v>SSC</v>
          </cell>
          <cell r="V34" t="str">
            <v>350S</v>
          </cell>
        </row>
        <row r="35">
          <cell r="B35">
            <v>38666</v>
          </cell>
          <cell r="C35" t="str">
            <v>5100014</v>
          </cell>
          <cell r="D35" t="str">
            <v>MARTELLA, ANTHONY</v>
          </cell>
          <cell r="E35" t="str">
            <v>FTSTC3</v>
          </cell>
          <cell r="F35" t="str">
            <v>Driver - Fantastic 3</v>
          </cell>
          <cell r="G35" t="str">
            <v>3</v>
          </cell>
          <cell r="H35" t="str">
            <v>350S</v>
          </cell>
          <cell r="I35">
            <v>28380</v>
          </cell>
          <cell r="J35">
            <v>28506</v>
          </cell>
          <cell r="K35">
            <v>28380</v>
          </cell>
          <cell r="L35" t="str">
            <v>DSP</v>
          </cell>
          <cell r="M35">
            <v>42.23</v>
          </cell>
          <cell r="N35">
            <v>19820</v>
          </cell>
          <cell r="O35">
            <v>627137</v>
          </cell>
          <cell r="P35">
            <v>0</v>
          </cell>
          <cell r="Q35" t="str">
            <v>N</v>
          </cell>
          <cell r="R35">
            <v>0</v>
          </cell>
          <cell r="S35">
            <v>0</v>
          </cell>
          <cell r="T35" t="str">
            <v>Driver - Lead</v>
          </cell>
          <cell r="U35" t="str">
            <v>SSC</v>
          </cell>
          <cell r="V35" t="str">
            <v>350S</v>
          </cell>
        </row>
        <row r="36">
          <cell r="B36">
            <v>41902</v>
          </cell>
          <cell r="C36" t="str">
            <v>5100510</v>
          </cell>
          <cell r="D36" t="str">
            <v>BORELLA, STEVEN</v>
          </cell>
          <cell r="E36" t="str">
            <v>MECH</v>
          </cell>
          <cell r="F36" t="str">
            <v>Mechanic</v>
          </cell>
          <cell r="G36" t="str">
            <v>3</v>
          </cell>
          <cell r="H36" t="str">
            <v>350S</v>
          </cell>
          <cell r="I36">
            <v>28415</v>
          </cell>
          <cell r="J36">
            <v>28541</v>
          </cell>
          <cell r="K36">
            <v>28415</v>
          </cell>
          <cell r="L36" t="str">
            <v>SHP</v>
          </cell>
          <cell r="M36">
            <v>43.26</v>
          </cell>
          <cell r="N36">
            <v>20588</v>
          </cell>
          <cell r="O36">
            <v>58755</v>
          </cell>
          <cell r="P36">
            <v>0</v>
          </cell>
          <cell r="Q36" t="str">
            <v>N</v>
          </cell>
          <cell r="R36">
            <v>0</v>
          </cell>
          <cell r="S36">
            <v>0</v>
          </cell>
          <cell r="T36" t="str">
            <v>350S</v>
          </cell>
          <cell r="U36" t="str">
            <v>SSC</v>
          </cell>
          <cell r="V36" t="str">
            <v>350S</v>
          </cell>
        </row>
        <row r="37">
          <cell r="B37">
            <v>42438</v>
          </cell>
          <cell r="C37" t="str">
            <v>5100510</v>
          </cell>
          <cell r="D37" t="str">
            <v>PESCE, MICHAEL</v>
          </cell>
          <cell r="E37" t="str">
            <v>TGSHP</v>
          </cell>
          <cell r="F37" t="str">
            <v>Shop Person</v>
          </cell>
          <cell r="G37" t="str">
            <v>3</v>
          </cell>
          <cell r="H37" t="str">
            <v>350S</v>
          </cell>
          <cell r="I37">
            <v>28527</v>
          </cell>
          <cell r="J37">
            <v>28653</v>
          </cell>
          <cell r="K37">
            <v>28527</v>
          </cell>
          <cell r="L37" t="str">
            <v>CRT</v>
          </cell>
          <cell r="M37">
            <v>40.540999999999997</v>
          </cell>
          <cell r="N37">
            <v>21471</v>
          </cell>
          <cell r="O37">
            <v>103350</v>
          </cell>
          <cell r="P37">
            <v>0</v>
          </cell>
          <cell r="Q37" t="str">
            <v>N</v>
          </cell>
          <cell r="R37">
            <v>0</v>
          </cell>
          <cell r="S37">
            <v>0</v>
          </cell>
          <cell r="T37" t="str">
            <v>350S</v>
          </cell>
          <cell r="U37" t="str">
            <v>SSC</v>
          </cell>
          <cell r="V37" t="str">
            <v>350S</v>
          </cell>
        </row>
        <row r="38">
          <cell r="B38">
            <v>38711</v>
          </cell>
          <cell r="C38" t="str">
            <v>5100014</v>
          </cell>
          <cell r="D38" t="str">
            <v>NELSON, RONALD</v>
          </cell>
          <cell r="E38" t="str">
            <v>FTSTC3</v>
          </cell>
          <cell r="F38" t="str">
            <v>Driver - Fantastic 3</v>
          </cell>
          <cell r="G38" t="str">
            <v>3</v>
          </cell>
          <cell r="H38" t="str">
            <v>350S</v>
          </cell>
          <cell r="I38">
            <v>28646</v>
          </cell>
          <cell r="J38">
            <v>28772</v>
          </cell>
          <cell r="K38">
            <v>28646</v>
          </cell>
          <cell r="L38" t="str">
            <v>DSP</v>
          </cell>
          <cell r="M38">
            <v>42.23</v>
          </cell>
          <cell r="N38">
            <v>20981</v>
          </cell>
          <cell r="O38">
            <v>38906</v>
          </cell>
          <cell r="P38">
            <v>0</v>
          </cell>
          <cell r="Q38" t="str">
            <v>N</v>
          </cell>
          <cell r="R38">
            <v>0</v>
          </cell>
          <cell r="S38">
            <v>0</v>
          </cell>
          <cell r="T38" t="str">
            <v>Driver - Lead</v>
          </cell>
          <cell r="U38" t="str">
            <v>SSC</v>
          </cell>
          <cell r="V38" t="str">
            <v>350S</v>
          </cell>
        </row>
        <row r="39">
          <cell r="B39">
            <v>38607</v>
          </cell>
          <cell r="C39" t="str">
            <v>5100060</v>
          </cell>
          <cell r="D39" t="str">
            <v>LOPEZ, DIONICIO R.</v>
          </cell>
          <cell r="E39" t="str">
            <v>DSPCH</v>
          </cell>
          <cell r="F39" t="str">
            <v>Dispatcher</v>
          </cell>
          <cell r="G39" t="str">
            <v>2</v>
          </cell>
          <cell r="H39">
            <v>0</v>
          </cell>
          <cell r="I39">
            <v>28660</v>
          </cell>
          <cell r="J39">
            <v>28660</v>
          </cell>
          <cell r="K39">
            <v>28660</v>
          </cell>
          <cell r="L39" t="str">
            <v>DB</v>
          </cell>
          <cell r="M39">
            <v>42.817</v>
          </cell>
          <cell r="N39">
            <v>21980</v>
          </cell>
          <cell r="O39">
            <v>38404</v>
          </cell>
          <cell r="P39" t="str">
            <v>22</v>
          </cell>
          <cell r="Q39" t="str">
            <v>Y</v>
          </cell>
          <cell r="R39">
            <v>0</v>
          </cell>
          <cell r="S39">
            <v>0</v>
          </cell>
          <cell r="T39" t="str">
            <v>NonU</v>
          </cell>
          <cell r="U39" t="str">
            <v>SSC</v>
          </cell>
          <cell r="V39" t="str">
            <v>NonU</v>
          </cell>
        </row>
        <row r="40">
          <cell r="B40">
            <v>40125</v>
          </cell>
          <cell r="C40" t="str">
            <v>5100060</v>
          </cell>
          <cell r="D40" t="str">
            <v>BELL, MICHAEL B.</v>
          </cell>
          <cell r="E40" t="str">
            <v>DRDBOX</v>
          </cell>
          <cell r="F40" t="str">
            <v>Driver - Debris Box</v>
          </cell>
          <cell r="G40" t="str">
            <v>3</v>
          </cell>
          <cell r="H40" t="str">
            <v>350S</v>
          </cell>
          <cell r="I40">
            <v>28660</v>
          </cell>
          <cell r="J40">
            <v>28786</v>
          </cell>
          <cell r="K40">
            <v>28660</v>
          </cell>
          <cell r="L40" t="str">
            <v>COM</v>
          </cell>
          <cell r="M40">
            <v>42.23</v>
          </cell>
          <cell r="N40">
            <v>21610</v>
          </cell>
          <cell r="O40">
            <v>38404</v>
          </cell>
          <cell r="P40">
            <v>0</v>
          </cell>
          <cell r="Q40" t="str">
            <v>N</v>
          </cell>
          <cell r="R40">
            <v>0</v>
          </cell>
          <cell r="S40">
            <v>0</v>
          </cell>
          <cell r="T40" t="str">
            <v>Driver - Lead</v>
          </cell>
          <cell r="U40" t="str">
            <v>SSC</v>
          </cell>
          <cell r="V40" t="str">
            <v>350S</v>
          </cell>
        </row>
        <row r="41">
          <cell r="B41">
            <v>40694</v>
          </cell>
          <cell r="C41" t="str">
            <v>5100510</v>
          </cell>
          <cell r="D41" t="str">
            <v>VERNA, PAUL</v>
          </cell>
          <cell r="E41" t="str">
            <v>HELPER</v>
          </cell>
          <cell r="F41" t="str">
            <v>Helper</v>
          </cell>
          <cell r="G41" t="str">
            <v>3</v>
          </cell>
          <cell r="H41" t="str">
            <v>350S</v>
          </cell>
          <cell r="I41">
            <v>28660</v>
          </cell>
          <cell r="J41">
            <v>28786</v>
          </cell>
          <cell r="K41">
            <v>28660</v>
          </cell>
          <cell r="L41" t="str">
            <v>SHP</v>
          </cell>
          <cell r="M41">
            <v>40.18</v>
          </cell>
          <cell r="N41">
            <v>20107</v>
          </cell>
          <cell r="O41">
            <v>58755</v>
          </cell>
          <cell r="P41">
            <v>0</v>
          </cell>
          <cell r="Q41" t="str">
            <v>N</v>
          </cell>
          <cell r="R41">
            <v>0</v>
          </cell>
          <cell r="S41">
            <v>0</v>
          </cell>
          <cell r="T41" t="str">
            <v>Helper</v>
          </cell>
          <cell r="U41" t="str">
            <v>SSC</v>
          </cell>
          <cell r="V41" t="str">
            <v>350S</v>
          </cell>
        </row>
        <row r="42">
          <cell r="B42">
            <v>38279</v>
          </cell>
          <cell r="C42" t="str">
            <v>5100122</v>
          </cell>
          <cell r="D42" t="str">
            <v>ARMANINO, STEVE</v>
          </cell>
          <cell r="E42" t="str">
            <v>DRCOM</v>
          </cell>
          <cell r="F42" t="str">
            <v>Driver - Commercial</v>
          </cell>
          <cell r="G42" t="str">
            <v>3</v>
          </cell>
          <cell r="H42" t="str">
            <v>350S</v>
          </cell>
          <cell r="I42">
            <v>28668</v>
          </cell>
          <cell r="J42">
            <v>28794</v>
          </cell>
          <cell r="K42">
            <v>28668</v>
          </cell>
          <cell r="L42" t="str">
            <v>DSP</v>
          </cell>
          <cell r="M42">
            <v>42.23</v>
          </cell>
          <cell r="N42">
            <v>20344</v>
          </cell>
          <cell r="O42">
            <v>627137</v>
          </cell>
          <cell r="P42">
            <v>0</v>
          </cell>
          <cell r="Q42" t="str">
            <v>N</v>
          </cell>
          <cell r="R42">
            <v>0</v>
          </cell>
          <cell r="S42">
            <v>0</v>
          </cell>
          <cell r="T42" t="str">
            <v>Driver - Lead</v>
          </cell>
          <cell r="U42" t="str">
            <v>SSC</v>
          </cell>
          <cell r="V42" t="str">
            <v>350S</v>
          </cell>
        </row>
        <row r="43">
          <cell r="B43">
            <v>41380</v>
          </cell>
          <cell r="C43" t="str">
            <v>5100014</v>
          </cell>
          <cell r="D43" t="str">
            <v>COOPER, ART</v>
          </cell>
          <cell r="E43" t="str">
            <v>OPSUP</v>
          </cell>
          <cell r="F43" t="str">
            <v>Operations Supvsr</v>
          </cell>
          <cell r="G43" t="str">
            <v>1</v>
          </cell>
          <cell r="H43">
            <v>0</v>
          </cell>
          <cell r="I43">
            <v>28670</v>
          </cell>
          <cell r="J43">
            <v>28796</v>
          </cell>
          <cell r="K43">
            <v>28670</v>
          </cell>
          <cell r="L43">
            <v>0</v>
          </cell>
          <cell r="M43">
            <v>33.277000000000001</v>
          </cell>
          <cell r="N43">
            <v>20474</v>
          </cell>
          <cell r="O43">
            <v>83141</v>
          </cell>
          <cell r="P43" t="str">
            <v>19</v>
          </cell>
          <cell r="Q43" t="str">
            <v>Y</v>
          </cell>
          <cell r="R43">
            <v>0</v>
          </cell>
          <cell r="S43">
            <v>0</v>
          </cell>
          <cell r="T43" t="str">
            <v>NonU</v>
          </cell>
          <cell r="U43" t="str">
            <v>SSC</v>
          </cell>
          <cell r="V43" t="str">
            <v>NonU</v>
          </cell>
        </row>
        <row r="44">
          <cell r="B44">
            <v>39319</v>
          </cell>
          <cell r="C44" t="str">
            <v>5100060</v>
          </cell>
          <cell r="D44" t="str">
            <v>GOMEZ, SALVADOR</v>
          </cell>
          <cell r="E44" t="str">
            <v>DRDBOX</v>
          </cell>
          <cell r="F44" t="str">
            <v>Driver - Debris Box</v>
          </cell>
          <cell r="G44" t="str">
            <v>3</v>
          </cell>
          <cell r="H44" t="str">
            <v>350S</v>
          </cell>
          <cell r="I44">
            <v>28683</v>
          </cell>
          <cell r="J44">
            <v>28809</v>
          </cell>
          <cell r="K44">
            <v>28683</v>
          </cell>
          <cell r="L44" t="str">
            <v>COM</v>
          </cell>
          <cell r="M44">
            <v>42.23</v>
          </cell>
          <cell r="N44">
            <v>21185</v>
          </cell>
          <cell r="O44">
            <v>38607</v>
          </cell>
          <cell r="P44">
            <v>0</v>
          </cell>
          <cell r="Q44" t="str">
            <v>N</v>
          </cell>
          <cell r="R44">
            <v>0</v>
          </cell>
          <cell r="S44">
            <v>0</v>
          </cell>
          <cell r="T44" t="str">
            <v>Driver - Lead</v>
          </cell>
          <cell r="U44" t="str">
            <v>SSC</v>
          </cell>
          <cell r="V44" t="str">
            <v>350S</v>
          </cell>
        </row>
        <row r="45">
          <cell r="B45">
            <v>42358</v>
          </cell>
          <cell r="C45" t="str">
            <v>5100510</v>
          </cell>
          <cell r="D45" t="str">
            <v>BORELLA, ROBERT</v>
          </cell>
          <cell r="E45" t="str">
            <v>TGSHP</v>
          </cell>
          <cell r="F45" t="str">
            <v>Shop Person</v>
          </cell>
          <cell r="G45" t="str">
            <v>3</v>
          </cell>
          <cell r="H45" t="str">
            <v>350S</v>
          </cell>
          <cell r="I45">
            <v>28787</v>
          </cell>
          <cell r="J45">
            <v>28913</v>
          </cell>
          <cell r="K45">
            <v>28787</v>
          </cell>
          <cell r="L45" t="str">
            <v>SHP</v>
          </cell>
          <cell r="M45">
            <v>40.540999999999997</v>
          </cell>
          <cell r="N45">
            <v>19718</v>
          </cell>
          <cell r="O45">
            <v>58755</v>
          </cell>
          <cell r="P45">
            <v>0</v>
          </cell>
          <cell r="Q45" t="str">
            <v>N</v>
          </cell>
          <cell r="R45">
            <v>0</v>
          </cell>
          <cell r="S45">
            <v>0</v>
          </cell>
          <cell r="T45" t="str">
            <v>350S</v>
          </cell>
          <cell r="U45" t="str">
            <v>SSC</v>
          </cell>
          <cell r="V45" t="str">
            <v>350S</v>
          </cell>
        </row>
        <row r="46">
          <cell r="B46">
            <v>39491</v>
          </cell>
          <cell r="C46" t="str">
            <v>5100014</v>
          </cell>
          <cell r="D46" t="str">
            <v>MARCUCCI, MICHAEL</v>
          </cell>
          <cell r="E46" t="str">
            <v>FTSTC3</v>
          </cell>
          <cell r="F46" t="str">
            <v>Driver - Fantastic 3</v>
          </cell>
          <cell r="G46" t="str">
            <v>3</v>
          </cell>
          <cell r="H46" t="str">
            <v>350S</v>
          </cell>
          <cell r="I46">
            <v>29010</v>
          </cell>
          <cell r="J46">
            <v>29136</v>
          </cell>
          <cell r="K46">
            <v>29010</v>
          </cell>
          <cell r="L46" t="str">
            <v>DSP</v>
          </cell>
          <cell r="M46">
            <v>42.23</v>
          </cell>
          <cell r="N46">
            <v>22548</v>
          </cell>
          <cell r="O46">
            <v>93497</v>
          </cell>
          <cell r="P46">
            <v>0</v>
          </cell>
          <cell r="Q46" t="str">
            <v>N</v>
          </cell>
          <cell r="R46">
            <v>0</v>
          </cell>
          <cell r="S46">
            <v>0</v>
          </cell>
          <cell r="T46" t="str">
            <v>Driver - Lead</v>
          </cell>
          <cell r="U46" t="str">
            <v>SSC</v>
          </cell>
          <cell r="V46" t="str">
            <v>350S</v>
          </cell>
        </row>
        <row r="47">
          <cell r="B47">
            <v>38228</v>
          </cell>
          <cell r="C47" t="str">
            <v>5100014</v>
          </cell>
          <cell r="D47" t="str">
            <v>ALVAREZ, RAMIRO</v>
          </cell>
          <cell r="E47" t="str">
            <v>OPSUP</v>
          </cell>
          <cell r="F47" t="str">
            <v>Operations Supvsr</v>
          </cell>
          <cell r="G47" t="str">
            <v>2</v>
          </cell>
          <cell r="H47">
            <v>0</v>
          </cell>
          <cell r="I47">
            <v>29038</v>
          </cell>
          <cell r="J47">
            <v>29038</v>
          </cell>
          <cell r="K47">
            <v>29038</v>
          </cell>
          <cell r="L47">
            <v>0</v>
          </cell>
          <cell r="M47">
            <v>43.698999999999998</v>
          </cell>
          <cell r="N47">
            <v>22574</v>
          </cell>
          <cell r="O47">
            <v>20061</v>
          </cell>
          <cell r="P47" t="str">
            <v>22</v>
          </cell>
          <cell r="Q47" t="str">
            <v>Y</v>
          </cell>
          <cell r="R47">
            <v>0</v>
          </cell>
          <cell r="S47">
            <v>0</v>
          </cell>
          <cell r="T47" t="str">
            <v>NonU</v>
          </cell>
          <cell r="U47" t="str">
            <v>SSC</v>
          </cell>
          <cell r="V47" t="str">
            <v>NonU</v>
          </cell>
        </row>
        <row r="48">
          <cell r="B48">
            <v>41953</v>
          </cell>
          <cell r="C48" t="str">
            <v>5100510</v>
          </cell>
          <cell r="D48" t="str">
            <v>HURTADO, RAMIRO</v>
          </cell>
          <cell r="E48" t="str">
            <v>MECH</v>
          </cell>
          <cell r="F48" t="str">
            <v>Mechanic</v>
          </cell>
          <cell r="G48" t="str">
            <v>3</v>
          </cell>
          <cell r="H48" t="str">
            <v>350S</v>
          </cell>
          <cell r="I48">
            <v>29061</v>
          </cell>
          <cell r="J48">
            <v>29187</v>
          </cell>
          <cell r="K48">
            <v>29061</v>
          </cell>
          <cell r="L48" t="str">
            <v>SHP</v>
          </cell>
          <cell r="M48">
            <v>43.26</v>
          </cell>
          <cell r="N48">
            <v>17022</v>
          </cell>
          <cell r="O48">
            <v>58755</v>
          </cell>
          <cell r="P48">
            <v>0</v>
          </cell>
          <cell r="Q48" t="str">
            <v>N</v>
          </cell>
          <cell r="R48">
            <v>0</v>
          </cell>
          <cell r="S48">
            <v>0</v>
          </cell>
          <cell r="T48" t="str">
            <v>350S</v>
          </cell>
          <cell r="U48" t="str">
            <v>SSC</v>
          </cell>
          <cell r="V48" t="str">
            <v>350S</v>
          </cell>
        </row>
        <row r="49">
          <cell r="B49">
            <v>38906</v>
          </cell>
          <cell r="C49" t="str">
            <v>5100014</v>
          </cell>
          <cell r="D49" t="str">
            <v>WALTON JR, RONALD</v>
          </cell>
          <cell r="E49" t="str">
            <v>OPSMG</v>
          </cell>
          <cell r="F49" t="str">
            <v>Operations Manager</v>
          </cell>
          <cell r="G49" t="str">
            <v>2</v>
          </cell>
          <cell r="H49">
            <v>0</v>
          </cell>
          <cell r="I49">
            <v>29080</v>
          </cell>
          <cell r="J49">
            <v>29080</v>
          </cell>
          <cell r="K49">
            <v>29080</v>
          </cell>
          <cell r="L49" t="str">
            <v>MG3</v>
          </cell>
          <cell r="M49">
            <v>45.029000000000003</v>
          </cell>
          <cell r="N49">
            <v>20372</v>
          </cell>
          <cell r="O49">
            <v>38501</v>
          </cell>
          <cell r="P49" t="str">
            <v>23</v>
          </cell>
          <cell r="Q49" t="str">
            <v>Y</v>
          </cell>
          <cell r="R49">
            <v>0</v>
          </cell>
          <cell r="S49">
            <v>0</v>
          </cell>
          <cell r="T49" t="str">
            <v>NonU</v>
          </cell>
          <cell r="U49" t="str">
            <v>SSC</v>
          </cell>
          <cell r="V49" t="str">
            <v>NonU</v>
          </cell>
        </row>
        <row r="50">
          <cell r="B50">
            <v>42251</v>
          </cell>
          <cell r="C50" t="str">
            <v>5100810</v>
          </cell>
          <cell r="D50" t="str">
            <v>PESCE, JUDY</v>
          </cell>
          <cell r="E50" t="str">
            <v>OFMGR</v>
          </cell>
          <cell r="F50" t="str">
            <v>Office Manager</v>
          </cell>
          <cell r="G50" t="str">
            <v>4</v>
          </cell>
          <cell r="H50">
            <v>0</v>
          </cell>
          <cell r="I50">
            <v>29248</v>
          </cell>
          <cell r="J50">
            <v>29248</v>
          </cell>
          <cell r="K50">
            <v>29248</v>
          </cell>
          <cell r="L50">
            <v>0</v>
          </cell>
          <cell r="M50">
            <v>40.543999999999997</v>
          </cell>
          <cell r="N50">
            <v>21336</v>
          </cell>
          <cell r="O50">
            <v>102779</v>
          </cell>
          <cell r="P50" t="str">
            <v>22</v>
          </cell>
          <cell r="Q50" t="str">
            <v>Y</v>
          </cell>
          <cell r="R50">
            <v>0</v>
          </cell>
          <cell r="S50">
            <v>0</v>
          </cell>
          <cell r="T50" t="str">
            <v>NonU</v>
          </cell>
          <cell r="U50" t="str">
            <v>SSC</v>
          </cell>
          <cell r="V50" t="str">
            <v>NonU</v>
          </cell>
        </row>
        <row r="51">
          <cell r="B51">
            <v>39335</v>
          </cell>
          <cell r="C51" t="str">
            <v>5100510</v>
          </cell>
          <cell r="D51" t="str">
            <v>HASSON, DONALD</v>
          </cell>
          <cell r="E51" t="str">
            <v>HELPER</v>
          </cell>
          <cell r="F51" t="str">
            <v>Helper</v>
          </cell>
          <cell r="G51" t="str">
            <v>3</v>
          </cell>
          <cell r="H51" t="str">
            <v>350S</v>
          </cell>
          <cell r="I51">
            <v>29346</v>
          </cell>
          <cell r="J51">
            <v>29472</v>
          </cell>
          <cell r="K51">
            <v>29346</v>
          </cell>
          <cell r="L51" t="str">
            <v>SHP</v>
          </cell>
          <cell r="M51">
            <v>40.18</v>
          </cell>
          <cell r="N51">
            <v>20711</v>
          </cell>
          <cell r="O51">
            <v>58755</v>
          </cell>
          <cell r="P51">
            <v>0</v>
          </cell>
          <cell r="Q51" t="str">
            <v>N</v>
          </cell>
          <cell r="R51">
            <v>0</v>
          </cell>
          <cell r="S51">
            <v>0</v>
          </cell>
          <cell r="T51" t="str">
            <v>Helper</v>
          </cell>
          <cell r="U51" t="str">
            <v>SSC</v>
          </cell>
          <cell r="V51" t="str">
            <v>350S</v>
          </cell>
        </row>
        <row r="52">
          <cell r="B52">
            <v>38236</v>
          </cell>
          <cell r="C52" t="str">
            <v>5100014</v>
          </cell>
          <cell r="D52" t="str">
            <v>AMEDEE, DAVID C.</v>
          </cell>
          <cell r="E52" t="str">
            <v>FTSTC3</v>
          </cell>
          <cell r="F52" t="str">
            <v>Driver - Fantastic 3</v>
          </cell>
          <cell r="G52" t="str">
            <v>3</v>
          </cell>
          <cell r="H52" t="str">
            <v>350S</v>
          </cell>
          <cell r="I52">
            <v>29360</v>
          </cell>
          <cell r="J52">
            <v>29486</v>
          </cell>
          <cell r="K52">
            <v>29360</v>
          </cell>
          <cell r="L52" t="str">
            <v>DSP</v>
          </cell>
          <cell r="M52">
            <v>42.23</v>
          </cell>
          <cell r="N52">
            <v>21738</v>
          </cell>
          <cell r="O52">
            <v>752464</v>
          </cell>
          <cell r="P52">
            <v>0</v>
          </cell>
          <cell r="Q52" t="str">
            <v>N</v>
          </cell>
          <cell r="R52">
            <v>0</v>
          </cell>
          <cell r="S52">
            <v>0</v>
          </cell>
          <cell r="T52" t="str">
            <v>Driver - Lead</v>
          </cell>
          <cell r="U52" t="str">
            <v>SSC</v>
          </cell>
          <cell r="V52" t="str">
            <v>350S</v>
          </cell>
        </row>
        <row r="53">
          <cell r="B53">
            <v>40221</v>
          </cell>
          <cell r="C53" t="str">
            <v>5100014</v>
          </cell>
          <cell r="D53" t="str">
            <v>GONZALEZ, JUAN C.</v>
          </cell>
          <cell r="E53" t="str">
            <v>FTSTC3</v>
          </cell>
          <cell r="F53" t="str">
            <v>Driver - Fantastic 3</v>
          </cell>
          <cell r="G53" t="str">
            <v>3</v>
          </cell>
          <cell r="H53" t="str">
            <v>350S</v>
          </cell>
          <cell r="I53">
            <v>29424</v>
          </cell>
          <cell r="J53">
            <v>29550</v>
          </cell>
          <cell r="K53">
            <v>29424</v>
          </cell>
          <cell r="L53" t="str">
            <v>DSP</v>
          </cell>
          <cell r="M53">
            <v>42.23</v>
          </cell>
          <cell r="N53">
            <v>22394</v>
          </cell>
          <cell r="O53">
            <v>83141</v>
          </cell>
          <cell r="P53">
            <v>0</v>
          </cell>
          <cell r="Q53" t="str">
            <v>N</v>
          </cell>
          <cell r="R53">
            <v>0</v>
          </cell>
          <cell r="S53">
            <v>0</v>
          </cell>
          <cell r="T53" t="str">
            <v>Driver - Lead</v>
          </cell>
          <cell r="U53" t="str">
            <v>SSC</v>
          </cell>
          <cell r="V53" t="str">
            <v>350S</v>
          </cell>
        </row>
        <row r="54">
          <cell r="B54">
            <v>42180</v>
          </cell>
          <cell r="C54" t="str">
            <v>5100810</v>
          </cell>
          <cell r="D54" t="str">
            <v>ESTELLA, REGINA L.</v>
          </cell>
          <cell r="E54" t="str">
            <v>ACTCK</v>
          </cell>
          <cell r="F54" t="str">
            <v>Accounting Clerk</v>
          </cell>
          <cell r="G54" t="str">
            <v>4</v>
          </cell>
          <cell r="H54" t="str">
            <v>350CLR</v>
          </cell>
          <cell r="I54">
            <v>29458</v>
          </cell>
          <cell r="J54">
            <v>1</v>
          </cell>
          <cell r="K54">
            <v>29458</v>
          </cell>
          <cell r="L54" t="str">
            <v>OF1</v>
          </cell>
          <cell r="M54">
            <v>30.529</v>
          </cell>
          <cell r="N54">
            <v>14255</v>
          </cell>
          <cell r="O54">
            <v>102779</v>
          </cell>
          <cell r="P54">
            <v>0</v>
          </cell>
          <cell r="Q54" t="str">
            <v>N</v>
          </cell>
          <cell r="R54">
            <v>0</v>
          </cell>
          <cell r="S54">
            <v>0</v>
          </cell>
          <cell r="T54" t="str">
            <v>350CLR</v>
          </cell>
          <cell r="U54" t="str">
            <v>SSC</v>
          </cell>
          <cell r="V54" t="str">
            <v>350CLR</v>
          </cell>
        </row>
        <row r="55">
          <cell r="B55">
            <v>39706</v>
          </cell>
          <cell r="C55" t="str">
            <v>5100014</v>
          </cell>
          <cell r="D55" t="str">
            <v>TORRANO, RENATO</v>
          </cell>
          <cell r="E55" t="str">
            <v>FTSTC3</v>
          </cell>
          <cell r="F55" t="str">
            <v>Driver - Fantastic 3</v>
          </cell>
          <cell r="G55" t="str">
            <v>3</v>
          </cell>
          <cell r="H55" t="str">
            <v>350S</v>
          </cell>
          <cell r="I55">
            <v>29745</v>
          </cell>
          <cell r="J55">
            <v>29871</v>
          </cell>
          <cell r="K55">
            <v>29745</v>
          </cell>
          <cell r="L55" t="str">
            <v>DSP</v>
          </cell>
          <cell r="M55">
            <v>42.23</v>
          </cell>
          <cell r="N55">
            <v>21078</v>
          </cell>
          <cell r="O55">
            <v>83141</v>
          </cell>
          <cell r="P55">
            <v>0</v>
          </cell>
          <cell r="Q55" t="str">
            <v>N</v>
          </cell>
          <cell r="R55">
            <v>0</v>
          </cell>
          <cell r="S55">
            <v>0</v>
          </cell>
          <cell r="T55" t="str">
            <v>Driver - Lead</v>
          </cell>
          <cell r="U55" t="str">
            <v>SSC</v>
          </cell>
          <cell r="V55" t="str">
            <v>350S</v>
          </cell>
        </row>
        <row r="56">
          <cell r="B56">
            <v>39749</v>
          </cell>
          <cell r="C56" t="str">
            <v>5100014</v>
          </cell>
          <cell r="D56" t="str">
            <v>WALTON, MARK E.</v>
          </cell>
          <cell r="E56" t="str">
            <v>FTSTC3</v>
          </cell>
          <cell r="F56" t="str">
            <v>Driver - Fantastic 3</v>
          </cell>
          <cell r="G56" t="str">
            <v>3</v>
          </cell>
          <cell r="H56" t="str">
            <v>350S</v>
          </cell>
          <cell r="I56">
            <v>29745</v>
          </cell>
          <cell r="J56">
            <v>29871</v>
          </cell>
          <cell r="K56">
            <v>29745</v>
          </cell>
          <cell r="L56" t="str">
            <v>DSP</v>
          </cell>
          <cell r="M56">
            <v>42.23</v>
          </cell>
          <cell r="N56">
            <v>20889</v>
          </cell>
          <cell r="O56">
            <v>38228</v>
          </cell>
          <cell r="P56">
            <v>0</v>
          </cell>
          <cell r="Q56" t="str">
            <v>N</v>
          </cell>
          <cell r="R56">
            <v>0</v>
          </cell>
          <cell r="S56">
            <v>0</v>
          </cell>
          <cell r="T56" t="str">
            <v>Driver - Lead</v>
          </cell>
          <cell r="U56" t="str">
            <v>SSC</v>
          </cell>
          <cell r="V56" t="str">
            <v>350S</v>
          </cell>
        </row>
        <row r="57">
          <cell r="B57">
            <v>41312</v>
          </cell>
          <cell r="C57" t="str">
            <v>5100014</v>
          </cell>
          <cell r="D57" t="str">
            <v>NORMAN, MARVIN E.</v>
          </cell>
          <cell r="E57" t="str">
            <v>FTSTC3</v>
          </cell>
          <cell r="F57" t="str">
            <v>Driver - Fantastic 3</v>
          </cell>
          <cell r="G57" t="str">
            <v>3</v>
          </cell>
          <cell r="H57" t="str">
            <v>350S</v>
          </cell>
          <cell r="I57">
            <v>29745</v>
          </cell>
          <cell r="J57">
            <v>29871</v>
          </cell>
          <cell r="K57">
            <v>29745</v>
          </cell>
          <cell r="L57" t="str">
            <v>DSP</v>
          </cell>
          <cell r="M57">
            <v>42.23</v>
          </cell>
          <cell r="N57">
            <v>20950</v>
          </cell>
          <cell r="O57">
            <v>752464</v>
          </cell>
          <cell r="P57">
            <v>0</v>
          </cell>
          <cell r="Q57" t="str">
            <v>N</v>
          </cell>
          <cell r="R57">
            <v>0</v>
          </cell>
          <cell r="S57">
            <v>0</v>
          </cell>
          <cell r="T57" t="str">
            <v>Driver - Lead</v>
          </cell>
          <cell r="U57" t="str">
            <v>SSC</v>
          </cell>
          <cell r="V57" t="str">
            <v>350S</v>
          </cell>
        </row>
        <row r="58">
          <cell r="B58">
            <v>38535</v>
          </cell>
          <cell r="C58" t="str">
            <v>5100124</v>
          </cell>
          <cell r="D58" t="str">
            <v>GORDON, KIM</v>
          </cell>
          <cell r="E58" t="str">
            <v>DRCOM</v>
          </cell>
          <cell r="F58" t="str">
            <v>Driver - Commercial</v>
          </cell>
          <cell r="G58" t="str">
            <v>3</v>
          </cell>
          <cell r="H58" t="str">
            <v>350S</v>
          </cell>
          <cell r="I58">
            <v>29746</v>
          </cell>
          <cell r="J58">
            <v>29872</v>
          </cell>
          <cell r="K58">
            <v>29746</v>
          </cell>
          <cell r="L58" t="str">
            <v>DSP</v>
          </cell>
          <cell r="M58">
            <v>42.23</v>
          </cell>
          <cell r="N58">
            <v>20037</v>
          </cell>
          <cell r="O58">
            <v>41380</v>
          </cell>
          <cell r="P58">
            <v>0</v>
          </cell>
          <cell r="Q58" t="str">
            <v>N</v>
          </cell>
          <cell r="R58">
            <v>0</v>
          </cell>
          <cell r="S58">
            <v>0</v>
          </cell>
          <cell r="T58" t="str">
            <v>Driver - Lead</v>
          </cell>
          <cell r="U58" t="str">
            <v>SSC</v>
          </cell>
          <cell r="V58" t="str">
            <v>350S</v>
          </cell>
        </row>
        <row r="59">
          <cell r="B59">
            <v>39204</v>
          </cell>
          <cell r="C59" t="str">
            <v>5100014</v>
          </cell>
          <cell r="D59" t="str">
            <v>CROSETTI, KEN</v>
          </cell>
          <cell r="E59" t="str">
            <v>FTSTC3</v>
          </cell>
          <cell r="F59" t="str">
            <v>Driver - Fantastic 3</v>
          </cell>
          <cell r="G59" t="str">
            <v>3</v>
          </cell>
          <cell r="H59" t="str">
            <v>350S</v>
          </cell>
          <cell r="I59">
            <v>29780</v>
          </cell>
          <cell r="J59">
            <v>29906</v>
          </cell>
          <cell r="K59">
            <v>29780</v>
          </cell>
          <cell r="L59" t="str">
            <v>DSP</v>
          </cell>
          <cell r="M59">
            <v>42.23</v>
          </cell>
          <cell r="N59">
            <v>22581</v>
          </cell>
          <cell r="O59">
            <v>3969212</v>
          </cell>
          <cell r="P59">
            <v>0</v>
          </cell>
          <cell r="Q59" t="str">
            <v>N</v>
          </cell>
          <cell r="R59">
            <v>0</v>
          </cell>
          <cell r="S59">
            <v>0</v>
          </cell>
          <cell r="T59" t="str">
            <v>Driver - Lead</v>
          </cell>
          <cell r="U59" t="str">
            <v>SSC</v>
          </cell>
          <cell r="V59" t="str">
            <v>350S</v>
          </cell>
        </row>
        <row r="60">
          <cell r="B60">
            <v>42454</v>
          </cell>
          <cell r="C60" t="str">
            <v>5100510</v>
          </cell>
          <cell r="D60" t="str">
            <v>SCERRI, MIKE</v>
          </cell>
          <cell r="E60" t="str">
            <v>TGSHP</v>
          </cell>
          <cell r="F60" t="str">
            <v>Shop Person</v>
          </cell>
          <cell r="G60" t="str">
            <v>3</v>
          </cell>
          <cell r="H60" t="str">
            <v>350S</v>
          </cell>
          <cell r="I60">
            <v>29857</v>
          </cell>
          <cell r="J60">
            <v>29983</v>
          </cell>
          <cell r="K60">
            <v>29857</v>
          </cell>
          <cell r="L60" t="str">
            <v>CRT</v>
          </cell>
          <cell r="M60">
            <v>40.540999999999997</v>
          </cell>
          <cell r="N60">
            <v>22504</v>
          </cell>
          <cell r="O60">
            <v>103350</v>
          </cell>
          <cell r="P60">
            <v>0</v>
          </cell>
          <cell r="Q60" t="str">
            <v>N</v>
          </cell>
          <cell r="R60">
            <v>0</v>
          </cell>
          <cell r="S60">
            <v>0</v>
          </cell>
          <cell r="T60" t="str">
            <v>350S</v>
          </cell>
          <cell r="U60" t="str">
            <v>SSC</v>
          </cell>
          <cell r="V60" t="str">
            <v>350S</v>
          </cell>
        </row>
        <row r="61">
          <cell r="B61">
            <v>39466</v>
          </cell>
          <cell r="C61" t="str">
            <v>5100014</v>
          </cell>
          <cell r="D61" t="str">
            <v>LOZA, RAFAEL</v>
          </cell>
          <cell r="E61" t="str">
            <v>FTSTC3</v>
          </cell>
          <cell r="F61" t="str">
            <v>Driver - Fantastic 3</v>
          </cell>
          <cell r="G61" t="str">
            <v>3</v>
          </cell>
          <cell r="H61" t="str">
            <v>350S</v>
          </cell>
          <cell r="I61">
            <v>30081</v>
          </cell>
          <cell r="J61">
            <v>30207</v>
          </cell>
          <cell r="K61">
            <v>30081</v>
          </cell>
          <cell r="L61" t="str">
            <v>DSP</v>
          </cell>
          <cell r="M61">
            <v>42.23</v>
          </cell>
          <cell r="N61">
            <v>22605</v>
          </cell>
          <cell r="O61">
            <v>83141</v>
          </cell>
          <cell r="P61">
            <v>0</v>
          </cell>
          <cell r="Q61" t="str">
            <v>N</v>
          </cell>
          <cell r="R61">
            <v>0</v>
          </cell>
          <cell r="S61">
            <v>0</v>
          </cell>
          <cell r="T61" t="str">
            <v>Driver - Lead</v>
          </cell>
          <cell r="U61" t="str">
            <v>SSC</v>
          </cell>
          <cell r="V61" t="str">
            <v>350S</v>
          </cell>
        </row>
        <row r="62">
          <cell r="B62">
            <v>39239</v>
          </cell>
          <cell r="C62" t="str">
            <v>5100014</v>
          </cell>
          <cell r="D62" t="str">
            <v>EVANS, DONALD</v>
          </cell>
          <cell r="E62" t="str">
            <v>DSPCH</v>
          </cell>
          <cell r="F62" t="str">
            <v>Dispatcher</v>
          </cell>
          <cell r="G62" t="str">
            <v>2</v>
          </cell>
          <cell r="H62">
            <v>0</v>
          </cell>
          <cell r="I62">
            <v>30116</v>
          </cell>
          <cell r="J62">
            <v>30242</v>
          </cell>
          <cell r="K62">
            <v>30116</v>
          </cell>
          <cell r="L62" t="str">
            <v>DSP</v>
          </cell>
          <cell r="M62">
            <v>43.088999999999999</v>
          </cell>
          <cell r="N62">
            <v>21885</v>
          </cell>
          <cell r="O62">
            <v>450175</v>
          </cell>
          <cell r="P62" t="str">
            <v>22</v>
          </cell>
          <cell r="Q62" t="str">
            <v>Y</v>
          </cell>
          <cell r="R62">
            <v>0</v>
          </cell>
          <cell r="S62">
            <v>0</v>
          </cell>
          <cell r="T62" t="str">
            <v>NonU</v>
          </cell>
          <cell r="U62" t="str">
            <v>SSC</v>
          </cell>
          <cell r="V62" t="str">
            <v>NonU</v>
          </cell>
        </row>
        <row r="63">
          <cell r="B63">
            <v>39677</v>
          </cell>
          <cell r="C63" t="str">
            <v>5100510</v>
          </cell>
          <cell r="D63" t="str">
            <v>SMITH, KENNETH R.</v>
          </cell>
          <cell r="E63" t="str">
            <v>HELPER</v>
          </cell>
          <cell r="F63" t="str">
            <v>Helper</v>
          </cell>
          <cell r="G63" t="str">
            <v>3</v>
          </cell>
          <cell r="H63" t="str">
            <v>350S</v>
          </cell>
          <cell r="I63">
            <v>30116</v>
          </cell>
          <cell r="J63">
            <v>30242</v>
          </cell>
          <cell r="K63">
            <v>30116</v>
          </cell>
          <cell r="L63" t="str">
            <v>SHP</v>
          </cell>
          <cell r="M63">
            <v>40.18</v>
          </cell>
          <cell r="N63">
            <v>22227</v>
          </cell>
          <cell r="O63">
            <v>627137</v>
          </cell>
          <cell r="P63">
            <v>0</v>
          </cell>
          <cell r="Q63" t="str">
            <v>N</v>
          </cell>
          <cell r="R63">
            <v>0</v>
          </cell>
          <cell r="S63">
            <v>0</v>
          </cell>
          <cell r="T63" t="str">
            <v>Helper</v>
          </cell>
          <cell r="U63" t="str">
            <v>SSC</v>
          </cell>
          <cell r="V63" t="str">
            <v>350S</v>
          </cell>
        </row>
        <row r="64">
          <cell r="B64">
            <v>39714</v>
          </cell>
          <cell r="C64" t="str">
            <v>5100014</v>
          </cell>
          <cell r="D64" t="str">
            <v>VARNI, DEAN C.</v>
          </cell>
          <cell r="E64" t="str">
            <v>FTSTC3</v>
          </cell>
          <cell r="F64" t="str">
            <v>Driver - Fantastic 3</v>
          </cell>
          <cell r="G64" t="str">
            <v>3</v>
          </cell>
          <cell r="H64" t="str">
            <v>350S</v>
          </cell>
          <cell r="I64">
            <v>30116</v>
          </cell>
          <cell r="J64">
            <v>30242</v>
          </cell>
          <cell r="K64">
            <v>30116</v>
          </cell>
          <cell r="L64" t="str">
            <v>DSP</v>
          </cell>
          <cell r="M64">
            <v>42.23</v>
          </cell>
          <cell r="N64">
            <v>21512</v>
          </cell>
          <cell r="O64">
            <v>38906</v>
          </cell>
          <cell r="P64">
            <v>0</v>
          </cell>
          <cell r="Q64" t="str">
            <v>N</v>
          </cell>
          <cell r="R64">
            <v>0</v>
          </cell>
          <cell r="S64">
            <v>0</v>
          </cell>
          <cell r="T64" t="str">
            <v>Driver - Lead</v>
          </cell>
          <cell r="U64" t="str">
            <v>SSC</v>
          </cell>
          <cell r="V64" t="str">
            <v>350S</v>
          </cell>
        </row>
        <row r="65">
          <cell r="B65">
            <v>40441</v>
          </cell>
          <cell r="C65" t="str">
            <v>5100014</v>
          </cell>
          <cell r="D65" t="str">
            <v>MARCUCCI, DAN</v>
          </cell>
          <cell r="E65" t="str">
            <v>FTSTC3</v>
          </cell>
          <cell r="F65" t="str">
            <v>Driver - Fantastic 3</v>
          </cell>
          <cell r="G65" t="str">
            <v>3</v>
          </cell>
          <cell r="H65" t="str">
            <v>350S</v>
          </cell>
          <cell r="I65">
            <v>30123</v>
          </cell>
          <cell r="J65">
            <v>30249</v>
          </cell>
          <cell r="K65">
            <v>30123</v>
          </cell>
          <cell r="L65" t="str">
            <v>DSP</v>
          </cell>
          <cell r="M65">
            <v>42.23</v>
          </cell>
          <cell r="N65">
            <v>23656</v>
          </cell>
          <cell r="O65">
            <v>39239</v>
          </cell>
          <cell r="P65">
            <v>0</v>
          </cell>
          <cell r="Q65" t="str">
            <v>N</v>
          </cell>
          <cell r="R65">
            <v>0</v>
          </cell>
          <cell r="S65">
            <v>0</v>
          </cell>
          <cell r="T65" t="str">
            <v>Driver - Lead</v>
          </cell>
          <cell r="U65" t="str">
            <v>SSC</v>
          </cell>
          <cell r="V65" t="str">
            <v>350S</v>
          </cell>
        </row>
        <row r="66">
          <cell r="B66">
            <v>42391</v>
          </cell>
          <cell r="C66" t="str">
            <v>5100510</v>
          </cell>
          <cell r="D66" t="str">
            <v>CAVALLINI, SANTE</v>
          </cell>
          <cell r="E66" t="str">
            <v>TGSHP</v>
          </cell>
          <cell r="F66" t="str">
            <v>Shop Person</v>
          </cell>
          <cell r="G66" t="str">
            <v>3</v>
          </cell>
          <cell r="H66" t="str">
            <v>350S</v>
          </cell>
          <cell r="I66">
            <v>30354</v>
          </cell>
          <cell r="J66">
            <v>30480</v>
          </cell>
          <cell r="K66">
            <v>30354</v>
          </cell>
          <cell r="L66" t="str">
            <v>CRT</v>
          </cell>
          <cell r="M66">
            <v>40.540999999999997</v>
          </cell>
          <cell r="N66">
            <v>17946</v>
          </cell>
          <cell r="O66">
            <v>58755</v>
          </cell>
          <cell r="P66">
            <v>0</v>
          </cell>
          <cell r="Q66" t="str">
            <v>N</v>
          </cell>
          <cell r="R66">
            <v>0</v>
          </cell>
          <cell r="S66">
            <v>0</v>
          </cell>
          <cell r="T66" t="str">
            <v>350S</v>
          </cell>
          <cell r="U66" t="str">
            <v>SSC</v>
          </cell>
          <cell r="V66" t="str">
            <v>350S</v>
          </cell>
        </row>
        <row r="67">
          <cell r="B67">
            <v>38586</v>
          </cell>
          <cell r="C67" t="str">
            <v>5100014</v>
          </cell>
          <cell r="D67" t="str">
            <v>LAVEZZOLI, LOREN</v>
          </cell>
          <cell r="E67" t="str">
            <v>FTSTC3</v>
          </cell>
          <cell r="F67" t="str">
            <v>Driver - Fantastic 3</v>
          </cell>
          <cell r="G67" t="str">
            <v>3</v>
          </cell>
          <cell r="H67" t="str">
            <v>350S</v>
          </cell>
          <cell r="I67">
            <v>30459</v>
          </cell>
          <cell r="J67">
            <v>30585</v>
          </cell>
          <cell r="K67">
            <v>30459</v>
          </cell>
          <cell r="L67" t="str">
            <v>DSP</v>
          </cell>
          <cell r="M67">
            <v>42.23</v>
          </cell>
          <cell r="N67">
            <v>19900</v>
          </cell>
          <cell r="O67">
            <v>627137</v>
          </cell>
          <cell r="P67">
            <v>0</v>
          </cell>
          <cell r="Q67" t="str">
            <v>N</v>
          </cell>
          <cell r="R67">
            <v>0</v>
          </cell>
          <cell r="S67">
            <v>0</v>
          </cell>
          <cell r="T67" t="str">
            <v>Driver - Lead</v>
          </cell>
          <cell r="U67" t="str">
            <v>SSC</v>
          </cell>
          <cell r="V67" t="str">
            <v>350S</v>
          </cell>
        </row>
        <row r="68">
          <cell r="B68">
            <v>39221</v>
          </cell>
          <cell r="C68" t="str">
            <v>5100014</v>
          </cell>
          <cell r="D68" t="str">
            <v>DE MARTINI, PAUL C</v>
          </cell>
          <cell r="E68" t="str">
            <v>FTSTC3</v>
          </cell>
          <cell r="F68" t="str">
            <v>Driver - Fantastic 3</v>
          </cell>
          <cell r="G68" t="str">
            <v>3</v>
          </cell>
          <cell r="H68" t="str">
            <v>350S</v>
          </cell>
          <cell r="I68">
            <v>30473</v>
          </cell>
          <cell r="J68">
            <v>30599</v>
          </cell>
          <cell r="K68">
            <v>30473</v>
          </cell>
          <cell r="L68" t="str">
            <v>DSP</v>
          </cell>
          <cell r="M68">
            <v>42.23</v>
          </cell>
          <cell r="N68">
            <v>23372</v>
          </cell>
          <cell r="O68">
            <v>38404</v>
          </cell>
          <cell r="P68">
            <v>0</v>
          </cell>
          <cell r="Q68" t="str">
            <v>N</v>
          </cell>
          <cell r="R68">
            <v>0</v>
          </cell>
          <cell r="S68">
            <v>0</v>
          </cell>
          <cell r="T68" t="str">
            <v>Driver - Lead</v>
          </cell>
          <cell r="U68" t="str">
            <v>SSC</v>
          </cell>
          <cell r="V68" t="str">
            <v>350S</v>
          </cell>
        </row>
        <row r="69">
          <cell r="B69">
            <v>39271</v>
          </cell>
          <cell r="C69" t="str">
            <v>5100014</v>
          </cell>
          <cell r="D69" t="str">
            <v>GIUSTI, DAVID</v>
          </cell>
          <cell r="E69" t="str">
            <v>FTSTC3</v>
          </cell>
          <cell r="F69" t="str">
            <v>Driver - Fantastic 3</v>
          </cell>
          <cell r="G69" t="str">
            <v>3</v>
          </cell>
          <cell r="H69" t="str">
            <v>350S</v>
          </cell>
          <cell r="I69">
            <v>30473</v>
          </cell>
          <cell r="J69">
            <v>30599</v>
          </cell>
          <cell r="K69">
            <v>30473</v>
          </cell>
          <cell r="L69" t="str">
            <v>DSP</v>
          </cell>
          <cell r="M69">
            <v>42.23</v>
          </cell>
          <cell r="N69">
            <v>22518</v>
          </cell>
          <cell r="O69">
            <v>3969212</v>
          </cell>
          <cell r="P69">
            <v>0</v>
          </cell>
          <cell r="Q69" t="str">
            <v>N</v>
          </cell>
          <cell r="R69">
            <v>0</v>
          </cell>
          <cell r="S69">
            <v>0</v>
          </cell>
          <cell r="T69" t="str">
            <v>Driver - Lead</v>
          </cell>
          <cell r="U69" t="str">
            <v>SSC</v>
          </cell>
          <cell r="V69" t="str">
            <v>350S</v>
          </cell>
        </row>
        <row r="70">
          <cell r="B70">
            <v>39503</v>
          </cell>
          <cell r="C70" t="str">
            <v>5100014</v>
          </cell>
          <cell r="D70" t="str">
            <v>MARTIN, DAVID</v>
          </cell>
          <cell r="E70" t="str">
            <v>FTSTC3</v>
          </cell>
          <cell r="F70" t="str">
            <v>Driver - Fantastic 3</v>
          </cell>
          <cell r="G70" t="str">
            <v>3</v>
          </cell>
          <cell r="H70" t="str">
            <v>350S</v>
          </cell>
          <cell r="I70">
            <v>30473</v>
          </cell>
          <cell r="J70">
            <v>30599</v>
          </cell>
          <cell r="K70">
            <v>30473</v>
          </cell>
          <cell r="L70" t="str">
            <v>DSP</v>
          </cell>
          <cell r="M70">
            <v>42.23</v>
          </cell>
          <cell r="N70">
            <v>23207</v>
          </cell>
          <cell r="O70">
            <v>627137</v>
          </cell>
          <cell r="P70">
            <v>0</v>
          </cell>
          <cell r="Q70" t="str">
            <v>N</v>
          </cell>
          <cell r="R70">
            <v>0</v>
          </cell>
          <cell r="S70">
            <v>0</v>
          </cell>
          <cell r="T70" t="str">
            <v>Driver - Lead</v>
          </cell>
          <cell r="U70" t="str">
            <v>SSC</v>
          </cell>
          <cell r="V70" t="str">
            <v>350S</v>
          </cell>
        </row>
        <row r="71">
          <cell r="B71">
            <v>39554</v>
          </cell>
          <cell r="C71" t="str">
            <v>5100060</v>
          </cell>
          <cell r="D71" t="str">
            <v>MITCHELL, ROBERT</v>
          </cell>
          <cell r="E71" t="str">
            <v>DRDBOX</v>
          </cell>
          <cell r="F71" t="str">
            <v>Driver - Debris Box</v>
          </cell>
          <cell r="G71" t="str">
            <v>3</v>
          </cell>
          <cell r="H71" t="str">
            <v>350S</v>
          </cell>
          <cell r="I71">
            <v>30473</v>
          </cell>
          <cell r="J71">
            <v>30599</v>
          </cell>
          <cell r="K71">
            <v>30473</v>
          </cell>
          <cell r="L71" t="str">
            <v>COM</v>
          </cell>
          <cell r="M71">
            <v>42.23</v>
          </cell>
          <cell r="N71">
            <v>22277</v>
          </cell>
          <cell r="O71">
            <v>627137</v>
          </cell>
          <cell r="P71">
            <v>0</v>
          </cell>
          <cell r="Q71" t="str">
            <v>N</v>
          </cell>
          <cell r="R71">
            <v>0</v>
          </cell>
          <cell r="S71">
            <v>0</v>
          </cell>
          <cell r="T71" t="str">
            <v>Driver - Lead</v>
          </cell>
          <cell r="U71" t="str">
            <v>SSC</v>
          </cell>
          <cell r="V71" t="str">
            <v>350S</v>
          </cell>
        </row>
        <row r="72">
          <cell r="B72">
            <v>39343</v>
          </cell>
          <cell r="C72" t="str">
            <v>5100014</v>
          </cell>
          <cell r="D72" t="str">
            <v>HUEY, FRANKIE</v>
          </cell>
          <cell r="E72" t="str">
            <v>FTSTC3</v>
          </cell>
          <cell r="F72" t="str">
            <v>Driver - Fantastic 3</v>
          </cell>
          <cell r="G72" t="str">
            <v>3</v>
          </cell>
          <cell r="H72" t="str">
            <v>350S</v>
          </cell>
          <cell r="I72">
            <v>30480</v>
          </cell>
          <cell r="J72">
            <v>30606</v>
          </cell>
          <cell r="K72">
            <v>30480</v>
          </cell>
          <cell r="L72" t="str">
            <v>DSP</v>
          </cell>
          <cell r="M72">
            <v>42.23</v>
          </cell>
          <cell r="N72">
            <v>21190</v>
          </cell>
          <cell r="O72">
            <v>627137</v>
          </cell>
          <cell r="P72">
            <v>0</v>
          </cell>
          <cell r="Q72" t="str">
            <v>N</v>
          </cell>
          <cell r="R72">
            <v>0</v>
          </cell>
          <cell r="S72">
            <v>0</v>
          </cell>
          <cell r="T72" t="str">
            <v>Driver - Lead</v>
          </cell>
          <cell r="U72" t="str">
            <v>SSC</v>
          </cell>
          <cell r="V72" t="str">
            <v>350S</v>
          </cell>
        </row>
        <row r="73">
          <cell r="B73">
            <v>39984</v>
          </cell>
          <cell r="C73" t="str">
            <v>5100041</v>
          </cell>
          <cell r="D73" t="str">
            <v>CARDANINI, MIKE</v>
          </cell>
          <cell r="E73" t="str">
            <v>DRFTLR</v>
          </cell>
          <cell r="F73" t="str">
            <v>Driver - Frontloader</v>
          </cell>
          <cell r="G73" t="str">
            <v>3</v>
          </cell>
          <cell r="H73" t="str">
            <v>350S</v>
          </cell>
          <cell r="I73">
            <v>30487</v>
          </cell>
          <cell r="J73">
            <v>30613</v>
          </cell>
          <cell r="K73">
            <v>30487</v>
          </cell>
          <cell r="L73" t="str">
            <v>DSP</v>
          </cell>
          <cell r="M73">
            <v>42.23</v>
          </cell>
          <cell r="N73">
            <v>23950</v>
          </cell>
          <cell r="O73">
            <v>38906</v>
          </cell>
          <cell r="P73">
            <v>0</v>
          </cell>
          <cell r="Q73" t="str">
            <v>N</v>
          </cell>
          <cell r="R73">
            <v>0</v>
          </cell>
          <cell r="S73">
            <v>0</v>
          </cell>
          <cell r="T73" t="str">
            <v>Driver - Lead</v>
          </cell>
          <cell r="U73" t="str">
            <v>SSC</v>
          </cell>
          <cell r="V73" t="str">
            <v>350S</v>
          </cell>
        </row>
        <row r="74">
          <cell r="B74">
            <v>42041</v>
          </cell>
          <cell r="C74" t="str">
            <v>5100510</v>
          </cell>
          <cell r="D74" t="str">
            <v>SCRIVANI, MICHAEL A.</v>
          </cell>
          <cell r="E74" t="str">
            <v>MECH</v>
          </cell>
          <cell r="F74" t="str">
            <v>Mechanic</v>
          </cell>
          <cell r="G74" t="str">
            <v>3</v>
          </cell>
          <cell r="H74" t="str">
            <v>350S</v>
          </cell>
          <cell r="I74">
            <v>30574</v>
          </cell>
          <cell r="J74">
            <v>30700</v>
          </cell>
          <cell r="K74">
            <v>30574</v>
          </cell>
          <cell r="L74" t="str">
            <v>SHP</v>
          </cell>
          <cell r="M74">
            <v>43.26</v>
          </cell>
          <cell r="N74">
            <v>22706</v>
          </cell>
          <cell r="O74">
            <v>58755</v>
          </cell>
          <cell r="P74">
            <v>0</v>
          </cell>
          <cell r="Q74" t="str">
            <v>N</v>
          </cell>
          <cell r="R74">
            <v>0</v>
          </cell>
          <cell r="S74">
            <v>0</v>
          </cell>
          <cell r="T74" t="str">
            <v>350S</v>
          </cell>
          <cell r="U74" t="str">
            <v>SSC</v>
          </cell>
          <cell r="V74" t="str">
            <v>350S</v>
          </cell>
        </row>
        <row r="75">
          <cell r="B75">
            <v>39001</v>
          </cell>
          <cell r="C75" t="str">
            <v>5100014</v>
          </cell>
          <cell r="D75" t="str">
            <v>ALVAREZ, RICARDO</v>
          </cell>
          <cell r="E75" t="str">
            <v>FTSTC3</v>
          </cell>
          <cell r="F75" t="str">
            <v>Driver - Fantastic 3</v>
          </cell>
          <cell r="G75" t="str">
            <v>3</v>
          </cell>
          <cell r="H75" t="str">
            <v>350S</v>
          </cell>
          <cell r="I75">
            <v>30581</v>
          </cell>
          <cell r="J75">
            <v>30707</v>
          </cell>
          <cell r="K75">
            <v>30581</v>
          </cell>
          <cell r="L75" t="str">
            <v>DSP</v>
          </cell>
          <cell r="M75">
            <v>42.23</v>
          </cell>
          <cell r="N75">
            <v>23779</v>
          </cell>
          <cell r="O75">
            <v>627137</v>
          </cell>
          <cell r="P75">
            <v>0</v>
          </cell>
          <cell r="Q75" t="str">
            <v>N</v>
          </cell>
          <cell r="R75">
            <v>0</v>
          </cell>
          <cell r="S75">
            <v>0</v>
          </cell>
          <cell r="T75" t="str">
            <v>Driver - Lead</v>
          </cell>
          <cell r="U75" t="str">
            <v>SSC</v>
          </cell>
          <cell r="V75" t="str">
            <v>350S</v>
          </cell>
        </row>
        <row r="76">
          <cell r="B76">
            <v>39950</v>
          </cell>
          <cell r="C76" t="str">
            <v>5100013</v>
          </cell>
          <cell r="D76" t="str">
            <v>BYNUM, BYRON E</v>
          </cell>
          <cell r="E76" t="str">
            <v>DRBIC</v>
          </cell>
          <cell r="F76" t="str">
            <v>Driver - BIC</v>
          </cell>
          <cell r="G76" t="str">
            <v>3</v>
          </cell>
          <cell r="H76" t="str">
            <v>350S</v>
          </cell>
          <cell r="I76">
            <v>30602</v>
          </cell>
          <cell r="J76">
            <v>30728</v>
          </cell>
          <cell r="K76">
            <v>30602</v>
          </cell>
          <cell r="L76" t="str">
            <v>DSP</v>
          </cell>
          <cell r="M76">
            <v>42.23</v>
          </cell>
          <cell r="N76">
            <v>21446</v>
          </cell>
          <cell r="O76">
            <v>350705</v>
          </cell>
          <cell r="P76">
            <v>0</v>
          </cell>
          <cell r="Q76" t="str">
            <v>N</v>
          </cell>
          <cell r="R76">
            <v>0</v>
          </cell>
          <cell r="S76">
            <v>0</v>
          </cell>
          <cell r="T76" t="str">
            <v>Driver - BIC</v>
          </cell>
          <cell r="U76" t="str">
            <v>SSC</v>
          </cell>
          <cell r="V76" t="str">
            <v>350S</v>
          </cell>
        </row>
        <row r="77">
          <cell r="B77">
            <v>40037</v>
          </cell>
          <cell r="C77" t="str">
            <v>5100014</v>
          </cell>
          <cell r="D77" t="str">
            <v>CHIMENTI, RICKY A.</v>
          </cell>
          <cell r="E77" t="str">
            <v>FTSTC3</v>
          </cell>
          <cell r="F77" t="str">
            <v>Driver - Fantastic 3</v>
          </cell>
          <cell r="G77" t="str">
            <v>3</v>
          </cell>
          <cell r="H77" t="str">
            <v>350S</v>
          </cell>
          <cell r="I77">
            <v>30602</v>
          </cell>
          <cell r="J77">
            <v>30728</v>
          </cell>
          <cell r="K77">
            <v>30602</v>
          </cell>
          <cell r="L77" t="str">
            <v>DSP</v>
          </cell>
          <cell r="M77">
            <v>42.23</v>
          </cell>
          <cell r="N77">
            <v>23435</v>
          </cell>
          <cell r="O77">
            <v>38906</v>
          </cell>
          <cell r="P77">
            <v>0</v>
          </cell>
          <cell r="Q77" t="str">
            <v>N</v>
          </cell>
          <cell r="R77">
            <v>0</v>
          </cell>
          <cell r="S77">
            <v>0</v>
          </cell>
          <cell r="T77" t="str">
            <v>Driver - Lead</v>
          </cell>
          <cell r="U77" t="str">
            <v>SSC</v>
          </cell>
          <cell r="V77" t="str">
            <v>350S</v>
          </cell>
        </row>
        <row r="78">
          <cell r="B78">
            <v>39036</v>
          </cell>
          <cell r="C78" t="str">
            <v>5100014</v>
          </cell>
          <cell r="D78" t="str">
            <v>BAIONI, MARK A</v>
          </cell>
          <cell r="E78" t="str">
            <v>FTSTC3</v>
          </cell>
          <cell r="F78" t="str">
            <v>Driver - Fantastic 3</v>
          </cell>
          <cell r="G78" t="str">
            <v>3</v>
          </cell>
          <cell r="H78" t="str">
            <v>350S</v>
          </cell>
          <cell r="I78">
            <v>30606</v>
          </cell>
          <cell r="J78">
            <v>30732</v>
          </cell>
          <cell r="K78">
            <v>30606</v>
          </cell>
          <cell r="L78" t="str">
            <v>DSP</v>
          </cell>
          <cell r="M78">
            <v>42.23</v>
          </cell>
          <cell r="N78">
            <v>24067</v>
          </cell>
          <cell r="O78">
            <v>627137</v>
          </cell>
          <cell r="P78">
            <v>0</v>
          </cell>
          <cell r="Q78" t="str">
            <v>N</v>
          </cell>
          <cell r="R78">
            <v>0</v>
          </cell>
          <cell r="S78">
            <v>0</v>
          </cell>
          <cell r="T78" t="str">
            <v>Driver - Lead</v>
          </cell>
          <cell r="U78" t="str">
            <v>SSC</v>
          </cell>
          <cell r="V78" t="str">
            <v>350S</v>
          </cell>
        </row>
        <row r="79">
          <cell r="B79">
            <v>39095</v>
          </cell>
          <cell r="C79" t="str">
            <v>5100060</v>
          </cell>
          <cell r="D79" t="str">
            <v>BONANNI, GEORGE J.</v>
          </cell>
          <cell r="E79" t="str">
            <v>DRDBOX</v>
          </cell>
          <cell r="F79" t="str">
            <v>Driver - Debris Box</v>
          </cell>
          <cell r="G79" t="str">
            <v>3</v>
          </cell>
          <cell r="H79" t="str">
            <v>350S</v>
          </cell>
          <cell r="I79">
            <v>30606</v>
          </cell>
          <cell r="J79">
            <v>30732</v>
          </cell>
          <cell r="K79">
            <v>30606</v>
          </cell>
          <cell r="L79" t="str">
            <v>COM</v>
          </cell>
          <cell r="M79">
            <v>42.23</v>
          </cell>
          <cell r="N79">
            <v>21968</v>
          </cell>
          <cell r="O79">
            <v>38404</v>
          </cell>
          <cell r="P79">
            <v>0</v>
          </cell>
          <cell r="Q79" t="str">
            <v>N</v>
          </cell>
          <cell r="R79">
            <v>0</v>
          </cell>
          <cell r="S79">
            <v>0</v>
          </cell>
          <cell r="T79" t="str">
            <v>Driver - Lead</v>
          </cell>
          <cell r="U79" t="str">
            <v>SSC</v>
          </cell>
          <cell r="V79" t="str">
            <v>350S</v>
          </cell>
        </row>
        <row r="80">
          <cell r="B80">
            <v>39212</v>
          </cell>
          <cell r="C80" t="str">
            <v>5100014</v>
          </cell>
          <cell r="D80" t="str">
            <v>DE MARTINI, ALEXANDER</v>
          </cell>
          <cell r="E80" t="str">
            <v>FTSTC3</v>
          </cell>
          <cell r="F80" t="str">
            <v>Driver - Fantastic 3</v>
          </cell>
          <cell r="G80" t="str">
            <v>3</v>
          </cell>
          <cell r="H80" t="str">
            <v>350S</v>
          </cell>
          <cell r="I80">
            <v>30606</v>
          </cell>
          <cell r="J80">
            <v>30732</v>
          </cell>
          <cell r="K80">
            <v>30606</v>
          </cell>
          <cell r="L80" t="str">
            <v>DSP</v>
          </cell>
          <cell r="M80">
            <v>42.23</v>
          </cell>
          <cell r="N80">
            <v>22160</v>
          </cell>
          <cell r="O80">
            <v>627137</v>
          </cell>
          <cell r="P80">
            <v>0</v>
          </cell>
          <cell r="Q80" t="str">
            <v>N</v>
          </cell>
          <cell r="R80">
            <v>0</v>
          </cell>
          <cell r="S80">
            <v>0</v>
          </cell>
          <cell r="T80" t="str">
            <v>Driver - Lead</v>
          </cell>
          <cell r="U80" t="str">
            <v>SSC</v>
          </cell>
          <cell r="V80" t="str">
            <v>350S</v>
          </cell>
        </row>
        <row r="81">
          <cell r="B81">
            <v>39263</v>
          </cell>
          <cell r="C81" t="str">
            <v>5100014</v>
          </cell>
          <cell r="D81" t="str">
            <v>GALASSI, ROBERT</v>
          </cell>
          <cell r="E81" t="str">
            <v>FTSTC3</v>
          </cell>
          <cell r="F81" t="str">
            <v>Driver - Fantastic 3</v>
          </cell>
          <cell r="G81" t="str">
            <v>3</v>
          </cell>
          <cell r="H81" t="str">
            <v>350S</v>
          </cell>
          <cell r="I81">
            <v>30606</v>
          </cell>
          <cell r="J81">
            <v>30732</v>
          </cell>
          <cell r="K81">
            <v>30606</v>
          </cell>
          <cell r="L81" t="str">
            <v>DSP</v>
          </cell>
          <cell r="M81">
            <v>42.23</v>
          </cell>
          <cell r="N81">
            <v>23676</v>
          </cell>
          <cell r="O81">
            <v>38906</v>
          </cell>
          <cell r="P81">
            <v>0</v>
          </cell>
          <cell r="Q81" t="str">
            <v>N</v>
          </cell>
          <cell r="R81">
            <v>0</v>
          </cell>
          <cell r="S81">
            <v>0</v>
          </cell>
          <cell r="T81" t="str">
            <v>Driver - Lead</v>
          </cell>
          <cell r="U81" t="str">
            <v>SSC</v>
          </cell>
          <cell r="V81" t="str">
            <v>350S</v>
          </cell>
        </row>
        <row r="82">
          <cell r="B82">
            <v>39511</v>
          </cell>
          <cell r="C82" t="str">
            <v>5100060</v>
          </cell>
          <cell r="D82" t="str">
            <v>MARTIN, HORACIO</v>
          </cell>
          <cell r="E82" t="str">
            <v>DRDBOX</v>
          </cell>
          <cell r="F82" t="str">
            <v>Driver - Debris Box</v>
          </cell>
          <cell r="G82" t="str">
            <v>3</v>
          </cell>
          <cell r="H82" t="str">
            <v>350S</v>
          </cell>
          <cell r="I82">
            <v>30606</v>
          </cell>
          <cell r="J82">
            <v>30732</v>
          </cell>
          <cell r="K82">
            <v>30606</v>
          </cell>
          <cell r="L82" t="str">
            <v>COM</v>
          </cell>
          <cell r="M82">
            <v>42.23</v>
          </cell>
          <cell r="N82">
            <v>21709</v>
          </cell>
          <cell r="O82">
            <v>38404</v>
          </cell>
          <cell r="P82">
            <v>0</v>
          </cell>
          <cell r="Q82" t="str">
            <v>N</v>
          </cell>
          <cell r="R82">
            <v>0</v>
          </cell>
          <cell r="S82">
            <v>0</v>
          </cell>
          <cell r="T82" t="str">
            <v>Driver - Lead</v>
          </cell>
          <cell r="U82" t="str">
            <v>SSC</v>
          </cell>
          <cell r="V82" t="str">
            <v>350S</v>
          </cell>
        </row>
        <row r="83">
          <cell r="B83">
            <v>39546</v>
          </cell>
          <cell r="C83" t="str">
            <v>5100510</v>
          </cell>
          <cell r="D83" t="str">
            <v>MERJANO, ANTHONY</v>
          </cell>
          <cell r="E83" t="str">
            <v>MAIMG</v>
          </cell>
          <cell r="F83" t="str">
            <v>Maintenance Mgr</v>
          </cell>
          <cell r="G83" t="str">
            <v>1</v>
          </cell>
          <cell r="H83">
            <v>0</v>
          </cell>
          <cell r="I83">
            <v>30606</v>
          </cell>
          <cell r="J83">
            <v>30606</v>
          </cell>
          <cell r="K83">
            <v>30606</v>
          </cell>
          <cell r="L83" t="str">
            <v>GNA</v>
          </cell>
          <cell r="M83">
            <v>43.220999999999997</v>
          </cell>
          <cell r="N83">
            <v>22165</v>
          </cell>
          <cell r="O83">
            <v>58755</v>
          </cell>
          <cell r="P83" t="str">
            <v>22</v>
          </cell>
          <cell r="Q83" t="str">
            <v>Y</v>
          </cell>
          <cell r="R83">
            <v>0</v>
          </cell>
          <cell r="S83">
            <v>0</v>
          </cell>
          <cell r="T83" t="str">
            <v>NonU</v>
          </cell>
          <cell r="U83" t="str">
            <v>SSC</v>
          </cell>
          <cell r="V83" t="str">
            <v>NonU</v>
          </cell>
        </row>
        <row r="84">
          <cell r="B84">
            <v>39693</v>
          </cell>
          <cell r="C84" t="str">
            <v>5100014</v>
          </cell>
          <cell r="D84" t="str">
            <v>THOMPSON, KENNETH</v>
          </cell>
          <cell r="E84" t="str">
            <v>FTSTC3</v>
          </cell>
          <cell r="F84" t="str">
            <v>Driver - Fantastic 3</v>
          </cell>
          <cell r="G84" t="str">
            <v>3</v>
          </cell>
          <cell r="H84" t="str">
            <v>350S</v>
          </cell>
          <cell r="I84">
            <v>30606</v>
          </cell>
          <cell r="J84">
            <v>30732</v>
          </cell>
          <cell r="K84">
            <v>30606</v>
          </cell>
          <cell r="L84" t="str">
            <v>DSP</v>
          </cell>
          <cell r="M84">
            <v>42.23</v>
          </cell>
          <cell r="N84">
            <v>20201</v>
          </cell>
          <cell r="O84">
            <v>83141</v>
          </cell>
          <cell r="P84">
            <v>0</v>
          </cell>
          <cell r="Q84" t="str">
            <v>N</v>
          </cell>
          <cell r="R84">
            <v>0</v>
          </cell>
          <cell r="S84">
            <v>0</v>
          </cell>
          <cell r="T84" t="str">
            <v>Driver - Lead</v>
          </cell>
          <cell r="U84" t="str">
            <v>SSC</v>
          </cell>
          <cell r="V84" t="str">
            <v>350S</v>
          </cell>
        </row>
        <row r="85">
          <cell r="B85">
            <v>40512</v>
          </cell>
          <cell r="C85" t="str">
            <v>5100014</v>
          </cell>
          <cell r="D85" t="str">
            <v>MORESCO, JOHN</v>
          </cell>
          <cell r="E85" t="str">
            <v>FTSTC3</v>
          </cell>
          <cell r="F85" t="str">
            <v>Driver - Fantastic 3</v>
          </cell>
          <cell r="G85" t="str">
            <v>3</v>
          </cell>
          <cell r="H85" t="str">
            <v>350S</v>
          </cell>
          <cell r="I85">
            <v>30606</v>
          </cell>
          <cell r="J85">
            <v>30732</v>
          </cell>
          <cell r="K85">
            <v>30606</v>
          </cell>
          <cell r="L85" t="str">
            <v>DSP</v>
          </cell>
          <cell r="M85">
            <v>42.23</v>
          </cell>
          <cell r="N85">
            <v>22087</v>
          </cell>
          <cell r="O85">
            <v>83141</v>
          </cell>
          <cell r="P85">
            <v>0</v>
          </cell>
          <cell r="Q85" t="str">
            <v>N</v>
          </cell>
          <cell r="R85">
            <v>0</v>
          </cell>
          <cell r="S85">
            <v>0</v>
          </cell>
          <cell r="T85" t="str">
            <v>Driver - Lead</v>
          </cell>
          <cell r="U85" t="str">
            <v>SSC</v>
          </cell>
          <cell r="V85" t="str">
            <v>350S</v>
          </cell>
        </row>
        <row r="86">
          <cell r="B86">
            <v>41970</v>
          </cell>
          <cell r="C86" t="str">
            <v>5100510</v>
          </cell>
          <cell r="D86" t="str">
            <v>JEFFERIES, RONALD L</v>
          </cell>
          <cell r="E86" t="str">
            <v>MECH</v>
          </cell>
          <cell r="F86" t="str">
            <v>Mechanic</v>
          </cell>
          <cell r="G86" t="str">
            <v>3</v>
          </cell>
          <cell r="H86" t="str">
            <v>350S</v>
          </cell>
          <cell r="I86">
            <v>30810</v>
          </cell>
          <cell r="J86">
            <v>30936</v>
          </cell>
          <cell r="K86">
            <v>30810</v>
          </cell>
          <cell r="L86" t="str">
            <v>SHP</v>
          </cell>
          <cell r="M86">
            <v>43.26</v>
          </cell>
          <cell r="N86">
            <v>22238</v>
          </cell>
          <cell r="O86">
            <v>58755</v>
          </cell>
          <cell r="P86">
            <v>0</v>
          </cell>
          <cell r="Q86" t="str">
            <v>N</v>
          </cell>
          <cell r="R86">
            <v>0</v>
          </cell>
          <cell r="S86">
            <v>0</v>
          </cell>
          <cell r="T86" t="str">
            <v>350S</v>
          </cell>
          <cell r="U86" t="str">
            <v>SSC</v>
          </cell>
          <cell r="V86" t="str">
            <v>350S</v>
          </cell>
        </row>
        <row r="87">
          <cell r="B87">
            <v>39247</v>
          </cell>
          <cell r="C87" t="str">
            <v>5100014</v>
          </cell>
          <cell r="D87" t="str">
            <v>FORTSON, OSCAR</v>
          </cell>
          <cell r="E87" t="str">
            <v>FTSTC3</v>
          </cell>
          <cell r="F87" t="str">
            <v>Driver - Fantastic 3</v>
          </cell>
          <cell r="G87" t="str">
            <v>3</v>
          </cell>
          <cell r="H87" t="str">
            <v>350S</v>
          </cell>
          <cell r="I87">
            <v>30837</v>
          </cell>
          <cell r="J87">
            <v>30963</v>
          </cell>
          <cell r="K87">
            <v>30837</v>
          </cell>
          <cell r="L87" t="str">
            <v>DSP</v>
          </cell>
          <cell r="M87">
            <v>42.23</v>
          </cell>
          <cell r="N87">
            <v>23625</v>
          </cell>
          <cell r="O87">
            <v>627137</v>
          </cell>
          <cell r="P87">
            <v>0</v>
          </cell>
          <cell r="Q87" t="str">
            <v>N</v>
          </cell>
          <cell r="R87">
            <v>0</v>
          </cell>
          <cell r="S87">
            <v>0</v>
          </cell>
          <cell r="T87" t="str">
            <v>Driver - Lead</v>
          </cell>
          <cell r="U87" t="str">
            <v>SSC</v>
          </cell>
          <cell r="V87" t="str">
            <v>350S</v>
          </cell>
        </row>
        <row r="88">
          <cell r="B88">
            <v>39423</v>
          </cell>
          <cell r="C88" t="str">
            <v>5100060</v>
          </cell>
          <cell r="D88" t="str">
            <v>LOPEZ II, RIGOBERTO</v>
          </cell>
          <cell r="E88" t="str">
            <v>DRDBOX</v>
          </cell>
          <cell r="F88" t="str">
            <v>Driver - Debris Box</v>
          </cell>
          <cell r="G88" t="str">
            <v>3</v>
          </cell>
          <cell r="H88" t="str">
            <v>350S</v>
          </cell>
          <cell r="I88">
            <v>30837</v>
          </cell>
          <cell r="J88">
            <v>30963</v>
          </cell>
          <cell r="K88">
            <v>30837</v>
          </cell>
          <cell r="L88" t="str">
            <v>COM</v>
          </cell>
          <cell r="M88">
            <v>42.23</v>
          </cell>
          <cell r="N88">
            <v>22947</v>
          </cell>
          <cell r="O88">
            <v>38404</v>
          </cell>
          <cell r="P88">
            <v>0</v>
          </cell>
          <cell r="Q88" t="str">
            <v>N</v>
          </cell>
          <cell r="R88">
            <v>0</v>
          </cell>
          <cell r="S88">
            <v>0</v>
          </cell>
          <cell r="T88" t="str">
            <v>Driver - Lead</v>
          </cell>
          <cell r="U88" t="str">
            <v>SSC</v>
          </cell>
          <cell r="V88" t="str">
            <v>350S</v>
          </cell>
        </row>
        <row r="89">
          <cell r="B89">
            <v>39837</v>
          </cell>
          <cell r="C89" t="str">
            <v>5100014</v>
          </cell>
          <cell r="D89" t="str">
            <v>BALZOMO, WILFREDO</v>
          </cell>
          <cell r="E89" t="str">
            <v>FTSTC3</v>
          </cell>
          <cell r="F89" t="str">
            <v>Driver - Fantastic 3</v>
          </cell>
          <cell r="G89" t="str">
            <v>3</v>
          </cell>
          <cell r="H89" t="str">
            <v>350S</v>
          </cell>
          <cell r="I89">
            <v>30837</v>
          </cell>
          <cell r="J89">
            <v>30963</v>
          </cell>
          <cell r="K89">
            <v>30837</v>
          </cell>
          <cell r="L89" t="str">
            <v>DSP</v>
          </cell>
          <cell r="M89">
            <v>42.23</v>
          </cell>
          <cell r="N89">
            <v>20519</v>
          </cell>
          <cell r="O89">
            <v>627137</v>
          </cell>
          <cell r="P89">
            <v>0</v>
          </cell>
          <cell r="Q89" t="str">
            <v>N</v>
          </cell>
          <cell r="R89">
            <v>0</v>
          </cell>
          <cell r="S89">
            <v>0</v>
          </cell>
          <cell r="T89" t="str">
            <v>Driver - Lead</v>
          </cell>
          <cell r="U89" t="str">
            <v>SSC</v>
          </cell>
          <cell r="V89" t="str">
            <v>350S</v>
          </cell>
        </row>
        <row r="90">
          <cell r="B90">
            <v>39941</v>
          </cell>
          <cell r="C90" t="str">
            <v>5100014</v>
          </cell>
          <cell r="D90" t="str">
            <v>BRUZZONE, JOHN</v>
          </cell>
          <cell r="E90" t="str">
            <v>FTSTC3</v>
          </cell>
          <cell r="F90" t="str">
            <v>Driver - Fantastic 3</v>
          </cell>
          <cell r="G90" t="str">
            <v>3</v>
          </cell>
          <cell r="H90" t="str">
            <v>350S</v>
          </cell>
          <cell r="I90">
            <v>30837</v>
          </cell>
          <cell r="J90">
            <v>30963</v>
          </cell>
          <cell r="K90">
            <v>30837</v>
          </cell>
          <cell r="L90" t="str">
            <v>DSP</v>
          </cell>
          <cell r="M90">
            <v>42.23</v>
          </cell>
          <cell r="N90">
            <v>24205</v>
          </cell>
          <cell r="O90">
            <v>627137</v>
          </cell>
          <cell r="P90">
            <v>0</v>
          </cell>
          <cell r="Q90" t="str">
            <v>N</v>
          </cell>
          <cell r="R90">
            <v>0</v>
          </cell>
          <cell r="S90">
            <v>0</v>
          </cell>
          <cell r="T90" t="str">
            <v>Driver - Lead</v>
          </cell>
          <cell r="U90" t="str">
            <v>SSC</v>
          </cell>
          <cell r="V90" t="str">
            <v>350S</v>
          </cell>
        </row>
        <row r="91">
          <cell r="B91">
            <v>39010</v>
          </cell>
          <cell r="C91" t="str">
            <v>5100060</v>
          </cell>
          <cell r="D91" t="str">
            <v>ALVAREZ JR, GABRIEL</v>
          </cell>
          <cell r="E91" t="str">
            <v>DRDBOX</v>
          </cell>
          <cell r="F91" t="str">
            <v>Driver - Debris Box</v>
          </cell>
          <cell r="G91" t="str">
            <v>3</v>
          </cell>
          <cell r="H91" t="str">
            <v>350S</v>
          </cell>
          <cell r="I91">
            <v>30844</v>
          </cell>
          <cell r="J91">
            <v>30970</v>
          </cell>
          <cell r="K91">
            <v>30844</v>
          </cell>
          <cell r="L91" t="str">
            <v>COM</v>
          </cell>
          <cell r="M91">
            <v>42.23</v>
          </cell>
          <cell r="N91">
            <v>24186</v>
          </cell>
          <cell r="O91">
            <v>38607</v>
          </cell>
          <cell r="P91">
            <v>0</v>
          </cell>
          <cell r="Q91" t="str">
            <v>N</v>
          </cell>
          <cell r="R91">
            <v>0</v>
          </cell>
          <cell r="S91">
            <v>0</v>
          </cell>
          <cell r="T91" t="str">
            <v>Driver - Lead</v>
          </cell>
          <cell r="U91" t="str">
            <v>SSC</v>
          </cell>
          <cell r="V91" t="str">
            <v>350S</v>
          </cell>
        </row>
        <row r="92">
          <cell r="B92">
            <v>39757</v>
          </cell>
          <cell r="C92" t="str">
            <v>5100510</v>
          </cell>
          <cell r="D92" t="str">
            <v>WARD, MARCUS</v>
          </cell>
          <cell r="E92" t="str">
            <v>FTSTC3</v>
          </cell>
          <cell r="F92" t="str">
            <v>Driver - Fantastic 3</v>
          </cell>
          <cell r="G92" t="str">
            <v>3</v>
          </cell>
          <cell r="H92" t="str">
            <v>350S</v>
          </cell>
          <cell r="I92">
            <v>30858</v>
          </cell>
          <cell r="J92">
            <v>30984</v>
          </cell>
          <cell r="K92">
            <v>30858</v>
          </cell>
          <cell r="L92" t="str">
            <v>CRT</v>
          </cell>
          <cell r="M92">
            <v>42.23</v>
          </cell>
          <cell r="N92">
            <v>21859</v>
          </cell>
          <cell r="O92">
            <v>58755</v>
          </cell>
          <cell r="P92">
            <v>0</v>
          </cell>
          <cell r="Q92" t="str">
            <v>N</v>
          </cell>
          <cell r="R92">
            <v>0</v>
          </cell>
          <cell r="S92">
            <v>0</v>
          </cell>
          <cell r="T92" t="str">
            <v>Driver - Lead</v>
          </cell>
          <cell r="U92" t="str">
            <v>SSC</v>
          </cell>
          <cell r="V92" t="str">
            <v>350S</v>
          </cell>
        </row>
        <row r="93">
          <cell r="B93">
            <v>41937</v>
          </cell>
          <cell r="C93" t="str">
            <v>5100510</v>
          </cell>
          <cell r="D93" t="str">
            <v>DRAVEN, JOHN</v>
          </cell>
          <cell r="E93" t="str">
            <v>MECH</v>
          </cell>
          <cell r="F93" t="str">
            <v>Mechanic</v>
          </cell>
          <cell r="G93" t="str">
            <v>3</v>
          </cell>
          <cell r="H93" t="str">
            <v>350S</v>
          </cell>
          <cell r="I93">
            <v>30879</v>
          </cell>
          <cell r="J93">
            <v>31005</v>
          </cell>
          <cell r="K93">
            <v>30879</v>
          </cell>
          <cell r="L93" t="str">
            <v>SHP</v>
          </cell>
          <cell r="M93">
            <v>43.26</v>
          </cell>
          <cell r="N93">
            <v>21213</v>
          </cell>
          <cell r="O93">
            <v>58755</v>
          </cell>
          <cell r="P93">
            <v>0</v>
          </cell>
          <cell r="Q93" t="str">
            <v>N</v>
          </cell>
          <cell r="R93">
            <v>0</v>
          </cell>
          <cell r="S93">
            <v>0</v>
          </cell>
          <cell r="T93" t="str">
            <v>350S</v>
          </cell>
          <cell r="U93" t="str">
            <v>SSC</v>
          </cell>
          <cell r="V93" t="str">
            <v>350S</v>
          </cell>
        </row>
        <row r="94">
          <cell r="B94">
            <v>42198</v>
          </cell>
          <cell r="C94" t="str">
            <v>5100060</v>
          </cell>
          <cell r="D94" t="str">
            <v>FONTANA, LYNNE</v>
          </cell>
          <cell r="E94" t="str">
            <v>CSREP2</v>
          </cell>
          <cell r="F94" t="str">
            <v>Customer Service Rep II</v>
          </cell>
          <cell r="G94" t="str">
            <v>4</v>
          </cell>
          <cell r="H94" t="str">
            <v>350CLR</v>
          </cell>
          <cell r="I94">
            <v>31006</v>
          </cell>
          <cell r="J94">
            <v>1</v>
          </cell>
          <cell r="K94">
            <v>31006</v>
          </cell>
          <cell r="L94" t="str">
            <v>COM</v>
          </cell>
          <cell r="M94">
            <v>29.704999999999998</v>
          </cell>
          <cell r="N94">
            <v>16684</v>
          </cell>
          <cell r="O94">
            <v>38607</v>
          </cell>
          <cell r="P94">
            <v>0</v>
          </cell>
          <cell r="Q94" t="str">
            <v>N</v>
          </cell>
          <cell r="R94">
            <v>0</v>
          </cell>
          <cell r="S94">
            <v>0</v>
          </cell>
          <cell r="T94" t="str">
            <v>350CLR</v>
          </cell>
          <cell r="U94" t="str">
            <v>SSC</v>
          </cell>
          <cell r="V94" t="str">
            <v>350CLR</v>
          </cell>
        </row>
        <row r="95">
          <cell r="B95">
            <v>42032</v>
          </cell>
          <cell r="C95" t="str">
            <v>5100510</v>
          </cell>
          <cell r="D95" t="str">
            <v>SCHICK, STEVEN P.</v>
          </cell>
          <cell r="E95" t="str">
            <v>FOREA1</v>
          </cell>
          <cell r="F95" t="str">
            <v>Foreperson - Shop (ASE 1)</v>
          </cell>
          <cell r="G95" t="str">
            <v>3</v>
          </cell>
          <cell r="H95" t="str">
            <v>350S</v>
          </cell>
          <cell r="I95">
            <v>31152</v>
          </cell>
          <cell r="J95">
            <v>31278</v>
          </cell>
          <cell r="K95">
            <v>31152</v>
          </cell>
          <cell r="L95" t="str">
            <v>SHP</v>
          </cell>
          <cell r="M95">
            <v>47.694000000000003</v>
          </cell>
          <cell r="N95">
            <v>18606</v>
          </cell>
          <cell r="O95">
            <v>58755</v>
          </cell>
          <cell r="P95">
            <v>0</v>
          </cell>
          <cell r="Q95" t="str">
            <v>N</v>
          </cell>
          <cell r="R95">
            <v>0</v>
          </cell>
          <cell r="S95">
            <v>0</v>
          </cell>
          <cell r="T95" t="str">
            <v>350S</v>
          </cell>
          <cell r="U95" t="str">
            <v>SSC</v>
          </cell>
          <cell r="V95" t="str">
            <v>350S</v>
          </cell>
        </row>
        <row r="96">
          <cell r="B96">
            <v>40264</v>
          </cell>
          <cell r="C96" t="str">
            <v>5100014</v>
          </cell>
          <cell r="D96" t="str">
            <v>GUAIUMI, JERRY</v>
          </cell>
          <cell r="E96" t="str">
            <v>FTSTC3</v>
          </cell>
          <cell r="F96" t="str">
            <v>Driver - Fantastic 3</v>
          </cell>
          <cell r="G96" t="str">
            <v>3</v>
          </cell>
          <cell r="H96" t="str">
            <v>350S</v>
          </cell>
          <cell r="I96">
            <v>31201</v>
          </cell>
          <cell r="J96">
            <v>31327</v>
          </cell>
          <cell r="K96">
            <v>31201</v>
          </cell>
          <cell r="L96" t="str">
            <v>DSP</v>
          </cell>
          <cell r="M96">
            <v>42.23</v>
          </cell>
          <cell r="N96">
            <v>22723</v>
          </cell>
          <cell r="O96">
            <v>627137</v>
          </cell>
          <cell r="P96">
            <v>0</v>
          </cell>
          <cell r="Q96" t="str">
            <v>N</v>
          </cell>
          <cell r="R96">
            <v>0</v>
          </cell>
          <cell r="S96">
            <v>0</v>
          </cell>
          <cell r="T96" t="str">
            <v>Driver - Lead</v>
          </cell>
          <cell r="U96" t="str">
            <v>SSC</v>
          </cell>
          <cell r="V96" t="str">
            <v>350S</v>
          </cell>
        </row>
        <row r="97">
          <cell r="B97">
            <v>39175</v>
          </cell>
          <cell r="C97" t="str">
            <v>5100014</v>
          </cell>
          <cell r="D97" t="str">
            <v>CASACCIA, LARRY</v>
          </cell>
          <cell r="E97" t="str">
            <v>FTSTC3</v>
          </cell>
          <cell r="F97" t="str">
            <v>Driver - Fantastic 3</v>
          </cell>
          <cell r="G97" t="str">
            <v>3</v>
          </cell>
          <cell r="H97" t="str">
            <v>350S</v>
          </cell>
          <cell r="I97">
            <v>31208</v>
          </cell>
          <cell r="J97">
            <v>31334</v>
          </cell>
          <cell r="K97">
            <v>31208</v>
          </cell>
          <cell r="L97" t="str">
            <v>DSP</v>
          </cell>
          <cell r="M97">
            <v>42.23</v>
          </cell>
          <cell r="N97">
            <v>21582</v>
          </cell>
          <cell r="O97">
            <v>83141</v>
          </cell>
          <cell r="P97">
            <v>0</v>
          </cell>
          <cell r="Q97" t="str">
            <v>N</v>
          </cell>
          <cell r="R97">
            <v>0</v>
          </cell>
          <cell r="S97">
            <v>0</v>
          </cell>
          <cell r="T97" t="str">
            <v>Driver - Lead</v>
          </cell>
          <cell r="U97" t="str">
            <v>SSC</v>
          </cell>
          <cell r="V97" t="str">
            <v>350S</v>
          </cell>
        </row>
        <row r="98">
          <cell r="B98">
            <v>39351</v>
          </cell>
          <cell r="C98" t="str">
            <v>5100014</v>
          </cell>
          <cell r="D98" t="str">
            <v>IBARRA, ALDO</v>
          </cell>
          <cell r="E98" t="str">
            <v>FTSTC3</v>
          </cell>
          <cell r="F98" t="str">
            <v>Driver - Fantastic 3</v>
          </cell>
          <cell r="G98" t="str">
            <v>3</v>
          </cell>
          <cell r="H98" t="str">
            <v>350S</v>
          </cell>
          <cell r="I98">
            <v>31208</v>
          </cell>
          <cell r="J98">
            <v>31334</v>
          </cell>
          <cell r="K98">
            <v>31208</v>
          </cell>
          <cell r="L98" t="str">
            <v>DSP</v>
          </cell>
          <cell r="M98">
            <v>42.23</v>
          </cell>
          <cell r="N98">
            <v>23216</v>
          </cell>
          <cell r="O98">
            <v>39239</v>
          </cell>
          <cell r="P98">
            <v>0</v>
          </cell>
          <cell r="Q98" t="str">
            <v>N</v>
          </cell>
          <cell r="R98">
            <v>0</v>
          </cell>
          <cell r="S98">
            <v>0</v>
          </cell>
          <cell r="T98" t="str">
            <v>Driver - Lead</v>
          </cell>
          <cell r="U98" t="str">
            <v>SSC</v>
          </cell>
          <cell r="V98" t="str">
            <v>350S</v>
          </cell>
        </row>
        <row r="99">
          <cell r="B99">
            <v>40088</v>
          </cell>
          <cell r="C99" t="str">
            <v>5100014</v>
          </cell>
          <cell r="D99" t="str">
            <v>EVANS, DENNIS</v>
          </cell>
          <cell r="E99" t="str">
            <v>FTSTC3</v>
          </cell>
          <cell r="F99" t="str">
            <v>Driver - Fantastic 3</v>
          </cell>
          <cell r="G99" t="str">
            <v>3</v>
          </cell>
          <cell r="H99" t="str">
            <v>350S</v>
          </cell>
          <cell r="I99">
            <v>31208</v>
          </cell>
          <cell r="J99">
            <v>31334</v>
          </cell>
          <cell r="K99">
            <v>31208</v>
          </cell>
          <cell r="L99" t="str">
            <v>DSP</v>
          </cell>
          <cell r="M99">
            <v>42.23</v>
          </cell>
          <cell r="N99">
            <v>22266</v>
          </cell>
          <cell r="O99">
            <v>627137</v>
          </cell>
          <cell r="P99">
            <v>0</v>
          </cell>
          <cell r="Q99" t="str">
            <v>N</v>
          </cell>
          <cell r="R99">
            <v>0</v>
          </cell>
          <cell r="S99">
            <v>0</v>
          </cell>
          <cell r="T99" t="str">
            <v>Driver - Lead</v>
          </cell>
          <cell r="U99" t="str">
            <v>SSC</v>
          </cell>
          <cell r="V99" t="str">
            <v>350S</v>
          </cell>
        </row>
        <row r="100">
          <cell r="B100">
            <v>40539</v>
          </cell>
          <cell r="C100" t="str">
            <v>5100014</v>
          </cell>
          <cell r="D100" t="str">
            <v>OROPEZA, JOSE J</v>
          </cell>
          <cell r="E100" t="str">
            <v>FTSTC3</v>
          </cell>
          <cell r="F100" t="str">
            <v>Driver - Fantastic 3</v>
          </cell>
          <cell r="G100" t="str">
            <v>3</v>
          </cell>
          <cell r="H100" t="str">
            <v>350S</v>
          </cell>
          <cell r="I100">
            <v>31208</v>
          </cell>
          <cell r="J100">
            <v>31334</v>
          </cell>
          <cell r="K100">
            <v>31208</v>
          </cell>
          <cell r="L100" t="str">
            <v>DSP</v>
          </cell>
          <cell r="M100">
            <v>42.23</v>
          </cell>
          <cell r="N100">
            <v>23009</v>
          </cell>
          <cell r="O100">
            <v>627137</v>
          </cell>
          <cell r="P100">
            <v>0</v>
          </cell>
          <cell r="Q100" t="str">
            <v>N</v>
          </cell>
          <cell r="R100">
            <v>0</v>
          </cell>
          <cell r="S100">
            <v>0</v>
          </cell>
          <cell r="T100" t="str">
            <v>Driver - Lead</v>
          </cell>
          <cell r="U100" t="str">
            <v>SSC</v>
          </cell>
          <cell r="V100" t="str">
            <v>350S</v>
          </cell>
        </row>
        <row r="101">
          <cell r="B101">
            <v>39116</v>
          </cell>
          <cell r="C101" t="str">
            <v>5100014</v>
          </cell>
          <cell r="D101" t="str">
            <v>BORZONI, CHRISTOPHER L.</v>
          </cell>
          <cell r="E101" t="str">
            <v>FTSTC3</v>
          </cell>
          <cell r="F101" t="str">
            <v>Driver - Fantastic 3</v>
          </cell>
          <cell r="G101" t="str">
            <v>3</v>
          </cell>
          <cell r="H101" t="str">
            <v>350S</v>
          </cell>
          <cell r="I101">
            <v>31559</v>
          </cell>
          <cell r="J101">
            <v>31685</v>
          </cell>
          <cell r="K101">
            <v>31559</v>
          </cell>
          <cell r="L101" t="str">
            <v>DSP</v>
          </cell>
          <cell r="M101">
            <v>42.23</v>
          </cell>
          <cell r="N101">
            <v>24491</v>
          </cell>
          <cell r="O101">
            <v>627137</v>
          </cell>
          <cell r="P101">
            <v>0</v>
          </cell>
          <cell r="Q101" t="str">
            <v>N</v>
          </cell>
          <cell r="R101">
            <v>0</v>
          </cell>
          <cell r="S101">
            <v>0</v>
          </cell>
          <cell r="T101" t="str">
            <v>Driver - Lead</v>
          </cell>
          <cell r="U101" t="str">
            <v>SSC</v>
          </cell>
          <cell r="V101" t="str">
            <v>350S</v>
          </cell>
        </row>
        <row r="102">
          <cell r="B102">
            <v>39618</v>
          </cell>
          <cell r="C102" t="str">
            <v>5100014</v>
          </cell>
          <cell r="D102" t="str">
            <v>PRETARI, DAVID</v>
          </cell>
          <cell r="E102" t="str">
            <v>FTSTC3</v>
          </cell>
          <cell r="F102" t="str">
            <v>Driver - Fantastic 3</v>
          </cell>
          <cell r="G102" t="str">
            <v>3</v>
          </cell>
          <cell r="H102" t="str">
            <v>350S</v>
          </cell>
          <cell r="I102">
            <v>31559</v>
          </cell>
          <cell r="J102">
            <v>31685</v>
          </cell>
          <cell r="K102">
            <v>31559</v>
          </cell>
          <cell r="L102" t="str">
            <v>DSP</v>
          </cell>
          <cell r="M102">
            <v>42.23</v>
          </cell>
          <cell r="N102">
            <v>24496</v>
          </cell>
          <cell r="O102">
            <v>627137</v>
          </cell>
          <cell r="P102">
            <v>0</v>
          </cell>
          <cell r="Q102" t="str">
            <v>N</v>
          </cell>
          <cell r="R102">
            <v>0</v>
          </cell>
          <cell r="S102">
            <v>0</v>
          </cell>
          <cell r="T102" t="str">
            <v>Driver - Lead</v>
          </cell>
          <cell r="U102" t="str">
            <v>SSC</v>
          </cell>
          <cell r="V102" t="str">
            <v>350S</v>
          </cell>
        </row>
        <row r="103">
          <cell r="B103">
            <v>40109</v>
          </cell>
          <cell r="C103" t="str">
            <v>5100014</v>
          </cell>
          <cell r="D103" t="str">
            <v>FENG, MAO WEI</v>
          </cell>
          <cell r="E103" t="str">
            <v>FTSTC3</v>
          </cell>
          <cell r="F103" t="str">
            <v>Driver - Fantastic 3</v>
          </cell>
          <cell r="G103" t="str">
            <v>3</v>
          </cell>
          <cell r="H103" t="str">
            <v>350S</v>
          </cell>
          <cell r="I103">
            <v>31559</v>
          </cell>
          <cell r="J103">
            <v>31685</v>
          </cell>
          <cell r="K103">
            <v>31559</v>
          </cell>
          <cell r="L103" t="str">
            <v>DSP</v>
          </cell>
          <cell r="M103">
            <v>42.23</v>
          </cell>
          <cell r="N103">
            <v>20023</v>
          </cell>
          <cell r="O103">
            <v>627137</v>
          </cell>
          <cell r="P103">
            <v>0</v>
          </cell>
          <cell r="Q103" t="str">
            <v>N</v>
          </cell>
          <cell r="R103">
            <v>0</v>
          </cell>
          <cell r="S103">
            <v>0</v>
          </cell>
          <cell r="T103" t="str">
            <v>Driver - Lead</v>
          </cell>
          <cell r="U103" t="str">
            <v>SSC</v>
          </cell>
          <cell r="V103" t="str">
            <v>350S</v>
          </cell>
        </row>
        <row r="104">
          <cell r="B104">
            <v>40483</v>
          </cell>
          <cell r="C104" t="str">
            <v>5100060</v>
          </cell>
          <cell r="D104" t="str">
            <v>MESTAS, GREG</v>
          </cell>
          <cell r="E104" t="str">
            <v>DRDBOX</v>
          </cell>
          <cell r="F104" t="str">
            <v>Driver - Debris Box</v>
          </cell>
          <cell r="G104" t="str">
            <v>3</v>
          </cell>
          <cell r="H104" t="str">
            <v>350S</v>
          </cell>
          <cell r="I104">
            <v>31911</v>
          </cell>
          <cell r="J104">
            <v>32037</v>
          </cell>
          <cell r="K104">
            <v>31911</v>
          </cell>
          <cell r="L104" t="str">
            <v>COM</v>
          </cell>
          <cell r="M104">
            <v>42.23</v>
          </cell>
          <cell r="N104">
            <v>24528</v>
          </cell>
          <cell r="O104">
            <v>38607</v>
          </cell>
          <cell r="P104">
            <v>0</v>
          </cell>
          <cell r="Q104" t="str">
            <v>N</v>
          </cell>
          <cell r="R104">
            <v>0</v>
          </cell>
          <cell r="S104">
            <v>0</v>
          </cell>
          <cell r="T104" t="str">
            <v>Driver - Lead</v>
          </cell>
          <cell r="U104" t="str">
            <v>SSC</v>
          </cell>
          <cell r="V104" t="str">
            <v>350S</v>
          </cell>
        </row>
        <row r="105">
          <cell r="B105">
            <v>39474</v>
          </cell>
          <cell r="C105" t="str">
            <v>5100060</v>
          </cell>
          <cell r="D105" t="str">
            <v>MANESSIS JR, JOHN</v>
          </cell>
          <cell r="E105" t="str">
            <v>DRDBOX</v>
          </cell>
          <cell r="F105" t="str">
            <v>Driver - Debris Box</v>
          </cell>
          <cell r="G105" t="str">
            <v>3</v>
          </cell>
          <cell r="H105" t="str">
            <v>350S</v>
          </cell>
          <cell r="I105">
            <v>31936</v>
          </cell>
          <cell r="J105">
            <v>32062</v>
          </cell>
          <cell r="K105">
            <v>31936</v>
          </cell>
          <cell r="L105" t="str">
            <v>COM</v>
          </cell>
          <cell r="M105">
            <v>42.23</v>
          </cell>
          <cell r="N105">
            <v>24003</v>
          </cell>
          <cell r="O105">
            <v>38404</v>
          </cell>
          <cell r="P105">
            <v>0</v>
          </cell>
          <cell r="Q105" t="str">
            <v>N</v>
          </cell>
          <cell r="R105">
            <v>0</v>
          </cell>
          <cell r="S105">
            <v>0</v>
          </cell>
          <cell r="T105" t="str">
            <v>Driver - Lead</v>
          </cell>
          <cell r="U105" t="str">
            <v>SSC</v>
          </cell>
          <cell r="V105" t="str">
            <v>350S</v>
          </cell>
        </row>
        <row r="106">
          <cell r="B106">
            <v>40281</v>
          </cell>
          <cell r="C106">
            <v>5100014</v>
          </cell>
          <cell r="D106" t="str">
            <v>HUME, JOYCE</v>
          </cell>
          <cell r="E106" t="str">
            <v>HELPER</v>
          </cell>
          <cell r="F106" t="str">
            <v>Helper</v>
          </cell>
          <cell r="G106" t="str">
            <v>3</v>
          </cell>
          <cell r="H106" t="str">
            <v>350S</v>
          </cell>
          <cell r="I106">
            <v>31944</v>
          </cell>
          <cell r="J106">
            <v>32070</v>
          </cell>
          <cell r="K106">
            <v>31944</v>
          </cell>
          <cell r="L106" t="str">
            <v>CRT</v>
          </cell>
          <cell r="M106">
            <v>40.18</v>
          </cell>
          <cell r="N106">
            <v>17280</v>
          </cell>
          <cell r="O106">
            <v>39239</v>
          </cell>
          <cell r="P106">
            <v>0</v>
          </cell>
          <cell r="Q106" t="str">
            <v>N</v>
          </cell>
          <cell r="R106">
            <v>0</v>
          </cell>
          <cell r="S106">
            <v>0</v>
          </cell>
          <cell r="T106" t="str">
            <v>Helper</v>
          </cell>
          <cell r="U106" t="str">
            <v>SSC</v>
          </cell>
          <cell r="V106" t="str">
            <v>350S</v>
          </cell>
        </row>
        <row r="107">
          <cell r="B107">
            <v>39079</v>
          </cell>
          <cell r="C107" t="str">
            <v>5100014</v>
          </cell>
          <cell r="D107" t="str">
            <v>BARBAGELATA, DAVID M.</v>
          </cell>
          <cell r="E107" t="str">
            <v>FTSTC3</v>
          </cell>
          <cell r="F107" t="str">
            <v>Driver - Fantastic 3</v>
          </cell>
          <cell r="G107" t="str">
            <v>3</v>
          </cell>
          <cell r="H107" t="str">
            <v>350S</v>
          </cell>
          <cell r="I107">
            <v>32230</v>
          </cell>
          <cell r="J107">
            <v>32356</v>
          </cell>
          <cell r="K107">
            <v>32230</v>
          </cell>
          <cell r="L107" t="str">
            <v>DSP</v>
          </cell>
          <cell r="M107">
            <v>42.23</v>
          </cell>
          <cell r="N107">
            <v>25097</v>
          </cell>
          <cell r="O107">
            <v>38906</v>
          </cell>
          <cell r="P107">
            <v>0</v>
          </cell>
          <cell r="Q107" t="str">
            <v>N</v>
          </cell>
          <cell r="R107">
            <v>0</v>
          </cell>
          <cell r="S107">
            <v>0</v>
          </cell>
          <cell r="T107" t="str">
            <v>Driver - Lead</v>
          </cell>
          <cell r="U107" t="str">
            <v>SSC</v>
          </cell>
          <cell r="V107" t="str">
            <v>350S</v>
          </cell>
        </row>
        <row r="108">
          <cell r="B108">
            <v>40432</v>
          </cell>
          <cell r="C108" t="str">
            <v>5100014</v>
          </cell>
          <cell r="D108" t="str">
            <v>MALLEGNI, MARIO J.</v>
          </cell>
          <cell r="E108" t="str">
            <v>HELPER</v>
          </cell>
          <cell r="F108" t="str">
            <v>Helper</v>
          </cell>
          <cell r="G108" t="str">
            <v>3</v>
          </cell>
          <cell r="H108" t="str">
            <v>350S</v>
          </cell>
          <cell r="I108">
            <v>32230</v>
          </cell>
          <cell r="J108">
            <v>32356</v>
          </cell>
          <cell r="K108">
            <v>32230</v>
          </cell>
          <cell r="L108" t="str">
            <v>DSP</v>
          </cell>
          <cell r="M108">
            <v>40.18</v>
          </cell>
          <cell r="N108">
            <v>22830</v>
          </cell>
          <cell r="O108">
            <v>627137</v>
          </cell>
          <cell r="P108">
            <v>0</v>
          </cell>
          <cell r="Q108" t="str">
            <v>N</v>
          </cell>
          <cell r="R108">
            <v>0</v>
          </cell>
          <cell r="S108">
            <v>0</v>
          </cell>
          <cell r="T108" t="str">
            <v>Helper</v>
          </cell>
          <cell r="U108" t="str">
            <v>SSC</v>
          </cell>
          <cell r="V108" t="str">
            <v>350S</v>
          </cell>
        </row>
        <row r="109">
          <cell r="B109">
            <v>39571</v>
          </cell>
          <cell r="C109" t="str">
            <v>5100014</v>
          </cell>
          <cell r="D109" t="str">
            <v>OROPEZA, ANDRES</v>
          </cell>
          <cell r="E109" t="str">
            <v>FTSTC3</v>
          </cell>
          <cell r="F109" t="str">
            <v>Driver - Fantastic 3</v>
          </cell>
          <cell r="G109" t="str">
            <v>3</v>
          </cell>
          <cell r="H109" t="str">
            <v>350S</v>
          </cell>
          <cell r="I109">
            <v>31250</v>
          </cell>
          <cell r="J109">
            <v>31376</v>
          </cell>
          <cell r="K109">
            <v>32251</v>
          </cell>
          <cell r="L109" t="str">
            <v>DSP</v>
          </cell>
          <cell r="M109">
            <v>42.23</v>
          </cell>
          <cell r="N109">
            <v>22610</v>
          </cell>
          <cell r="O109">
            <v>83141</v>
          </cell>
          <cell r="P109">
            <v>0</v>
          </cell>
          <cell r="Q109" t="str">
            <v>N</v>
          </cell>
          <cell r="R109">
            <v>0</v>
          </cell>
          <cell r="S109">
            <v>0</v>
          </cell>
          <cell r="T109" t="str">
            <v>Driver - Lead</v>
          </cell>
          <cell r="U109" t="str">
            <v>SSC</v>
          </cell>
          <cell r="V109" t="str">
            <v>350S</v>
          </cell>
        </row>
        <row r="110">
          <cell r="B110">
            <v>40301</v>
          </cell>
          <cell r="C110" t="str">
            <v>5100120</v>
          </cell>
          <cell r="D110" t="str">
            <v>JONES, MICHAEL</v>
          </cell>
          <cell r="E110" t="str">
            <v>DRFTLR</v>
          </cell>
          <cell r="F110" t="str">
            <v>Driver - Frontloader</v>
          </cell>
          <cell r="G110" t="str">
            <v>3</v>
          </cell>
          <cell r="H110" t="str">
            <v>350S</v>
          </cell>
          <cell r="I110">
            <v>32251</v>
          </cell>
          <cell r="J110">
            <v>32377</v>
          </cell>
          <cell r="K110">
            <v>32251</v>
          </cell>
          <cell r="L110" t="str">
            <v>DSP</v>
          </cell>
          <cell r="M110">
            <v>42.23</v>
          </cell>
          <cell r="N110">
            <v>23673</v>
          </cell>
          <cell r="O110">
            <v>627137</v>
          </cell>
          <cell r="P110">
            <v>0</v>
          </cell>
          <cell r="Q110" t="str">
            <v>N</v>
          </cell>
          <cell r="R110">
            <v>0</v>
          </cell>
          <cell r="S110">
            <v>0</v>
          </cell>
          <cell r="T110" t="str">
            <v>Driver - Lead</v>
          </cell>
          <cell r="U110" t="str">
            <v>SSC</v>
          </cell>
          <cell r="V110" t="str">
            <v>350S</v>
          </cell>
        </row>
        <row r="111">
          <cell r="B111">
            <v>40715</v>
          </cell>
          <cell r="C111" t="str">
            <v>5100014</v>
          </cell>
          <cell r="D111" t="str">
            <v>WONG, DELON</v>
          </cell>
          <cell r="E111" t="str">
            <v>FTSTC3</v>
          </cell>
          <cell r="F111" t="str">
            <v>Driver - Fantastic 3</v>
          </cell>
          <cell r="G111" t="str">
            <v>3</v>
          </cell>
          <cell r="H111" t="str">
            <v>350S</v>
          </cell>
          <cell r="I111">
            <v>32300</v>
          </cell>
          <cell r="J111">
            <v>32426</v>
          </cell>
          <cell r="K111">
            <v>32300</v>
          </cell>
          <cell r="L111" t="str">
            <v>DSP</v>
          </cell>
          <cell r="M111">
            <v>42.23</v>
          </cell>
          <cell r="N111">
            <v>22520</v>
          </cell>
          <cell r="O111">
            <v>83141</v>
          </cell>
          <cell r="P111">
            <v>0</v>
          </cell>
          <cell r="Q111" t="str">
            <v>N</v>
          </cell>
          <cell r="R111">
            <v>0</v>
          </cell>
          <cell r="S111">
            <v>0</v>
          </cell>
          <cell r="T111" t="str">
            <v>Driver - Lead</v>
          </cell>
          <cell r="U111" t="str">
            <v>SSC</v>
          </cell>
          <cell r="V111" t="str">
            <v>350S</v>
          </cell>
        </row>
        <row r="112">
          <cell r="B112">
            <v>40053</v>
          </cell>
          <cell r="C112" t="str">
            <v>5100120</v>
          </cell>
          <cell r="D112" t="str">
            <v>DE MARTINI, PAUL M.</v>
          </cell>
          <cell r="E112" t="str">
            <v>DRFTLR</v>
          </cell>
          <cell r="F112" t="str">
            <v>Driver - Frontloader</v>
          </cell>
          <cell r="G112" t="str">
            <v>3</v>
          </cell>
          <cell r="H112" t="str">
            <v>350S</v>
          </cell>
          <cell r="I112">
            <v>32314</v>
          </cell>
          <cell r="J112">
            <v>32440</v>
          </cell>
          <cell r="K112">
            <v>32314</v>
          </cell>
          <cell r="L112" t="str">
            <v>DSP</v>
          </cell>
          <cell r="M112">
            <v>42.23</v>
          </cell>
          <cell r="N112">
            <v>25294</v>
          </cell>
          <cell r="O112">
            <v>627137</v>
          </cell>
          <cell r="P112">
            <v>0</v>
          </cell>
          <cell r="Q112" t="str">
            <v>N</v>
          </cell>
          <cell r="R112">
            <v>0</v>
          </cell>
          <cell r="S112">
            <v>0</v>
          </cell>
          <cell r="T112" t="str">
            <v>Driver - Lead</v>
          </cell>
          <cell r="U112" t="str">
            <v>SSC</v>
          </cell>
          <cell r="V112" t="str">
            <v>350S</v>
          </cell>
        </row>
        <row r="113">
          <cell r="B113">
            <v>40070</v>
          </cell>
          <cell r="C113" t="str">
            <v>5100060</v>
          </cell>
          <cell r="D113" t="str">
            <v>DONALDSON, DONALD R.</v>
          </cell>
          <cell r="E113" t="str">
            <v>DRDBOX</v>
          </cell>
          <cell r="F113" t="str">
            <v>Driver - Debris Box</v>
          </cell>
          <cell r="G113" t="str">
            <v>3</v>
          </cell>
          <cell r="H113" t="str">
            <v>350S</v>
          </cell>
          <cell r="I113">
            <v>32314</v>
          </cell>
          <cell r="J113">
            <v>32440</v>
          </cell>
          <cell r="K113">
            <v>32314</v>
          </cell>
          <cell r="L113" t="str">
            <v>COM</v>
          </cell>
          <cell r="M113">
            <v>42.23</v>
          </cell>
          <cell r="N113">
            <v>18275</v>
          </cell>
          <cell r="O113">
            <v>38404</v>
          </cell>
          <cell r="P113">
            <v>0</v>
          </cell>
          <cell r="Q113" t="str">
            <v>N</v>
          </cell>
          <cell r="R113">
            <v>0</v>
          </cell>
          <cell r="S113">
            <v>0</v>
          </cell>
          <cell r="T113" t="str">
            <v>Driver - Lead</v>
          </cell>
          <cell r="U113" t="str">
            <v>SSC</v>
          </cell>
          <cell r="V113" t="str">
            <v>350S</v>
          </cell>
        </row>
        <row r="114">
          <cell r="B114">
            <v>42331</v>
          </cell>
          <cell r="C114" t="str">
            <v>5100014</v>
          </cell>
          <cell r="D114" t="str">
            <v>MONCADA, DAVID</v>
          </cell>
          <cell r="E114" t="str">
            <v>FTSTC3</v>
          </cell>
          <cell r="F114" t="str">
            <v>Driver - Fantastic 3</v>
          </cell>
          <cell r="G114" t="str">
            <v>3</v>
          </cell>
          <cell r="H114" t="str">
            <v>350S</v>
          </cell>
          <cell r="I114">
            <v>32379</v>
          </cell>
          <cell r="J114">
            <v>32505</v>
          </cell>
          <cell r="K114">
            <v>32379</v>
          </cell>
          <cell r="L114" t="str">
            <v>DSP</v>
          </cell>
          <cell r="M114">
            <v>42.23</v>
          </cell>
          <cell r="N114">
            <v>21556</v>
          </cell>
          <cell r="O114">
            <v>627137</v>
          </cell>
          <cell r="P114">
            <v>0</v>
          </cell>
          <cell r="Q114" t="str">
            <v>N</v>
          </cell>
          <cell r="R114">
            <v>0</v>
          </cell>
          <cell r="S114">
            <v>0</v>
          </cell>
          <cell r="T114" t="str">
            <v>Driver - Lead</v>
          </cell>
          <cell r="U114" t="str">
            <v>SSC</v>
          </cell>
          <cell r="V114" t="str">
            <v>350S</v>
          </cell>
        </row>
        <row r="115">
          <cell r="B115">
            <v>40862</v>
          </cell>
          <cell r="C115" t="str">
            <v>5100510</v>
          </cell>
          <cell r="D115" t="str">
            <v>MALLEGNI JR, DOMENICO</v>
          </cell>
          <cell r="E115" t="str">
            <v>FTSTC3</v>
          </cell>
          <cell r="F115" t="str">
            <v>Driver - Fantastic 3</v>
          </cell>
          <cell r="G115" t="str">
            <v>3</v>
          </cell>
          <cell r="H115" t="str">
            <v>350S</v>
          </cell>
          <cell r="I115">
            <v>32562</v>
          </cell>
          <cell r="J115">
            <v>32688</v>
          </cell>
          <cell r="K115">
            <v>32562</v>
          </cell>
          <cell r="L115" t="str">
            <v>CRT</v>
          </cell>
          <cell r="M115">
            <v>42.23</v>
          </cell>
          <cell r="N115">
            <v>23882</v>
          </cell>
          <cell r="O115">
            <v>627137</v>
          </cell>
          <cell r="P115">
            <v>0</v>
          </cell>
          <cell r="Q115" t="str">
            <v>N</v>
          </cell>
          <cell r="R115">
            <v>0</v>
          </cell>
          <cell r="S115">
            <v>0</v>
          </cell>
          <cell r="T115" t="str">
            <v>Driver - Lead</v>
          </cell>
          <cell r="U115" t="str">
            <v>SSC</v>
          </cell>
          <cell r="V115" t="str">
            <v>350S</v>
          </cell>
        </row>
        <row r="116">
          <cell r="B116">
            <v>40926</v>
          </cell>
          <cell r="C116" t="str">
            <v>5100014</v>
          </cell>
          <cell r="D116" t="str">
            <v>RAY, COLIECE C</v>
          </cell>
          <cell r="E116" t="str">
            <v>FTSTC3</v>
          </cell>
          <cell r="F116" t="str">
            <v>Driver - Fantastic 3</v>
          </cell>
          <cell r="G116" t="str">
            <v>3</v>
          </cell>
          <cell r="H116" t="str">
            <v>350S</v>
          </cell>
          <cell r="I116">
            <v>32568</v>
          </cell>
          <cell r="J116">
            <v>32694</v>
          </cell>
          <cell r="K116">
            <v>32568</v>
          </cell>
          <cell r="L116" t="str">
            <v>DSP</v>
          </cell>
          <cell r="M116">
            <v>42.23</v>
          </cell>
          <cell r="N116">
            <v>18379</v>
          </cell>
          <cell r="O116">
            <v>38228</v>
          </cell>
          <cell r="P116">
            <v>0</v>
          </cell>
          <cell r="Q116" t="str">
            <v>N</v>
          </cell>
          <cell r="R116">
            <v>0</v>
          </cell>
          <cell r="S116">
            <v>0</v>
          </cell>
          <cell r="T116" t="str">
            <v>Driver - Lead</v>
          </cell>
          <cell r="U116" t="str">
            <v>SSC</v>
          </cell>
          <cell r="V116" t="str">
            <v>350S</v>
          </cell>
        </row>
        <row r="117">
          <cell r="B117">
            <v>41806</v>
          </cell>
          <cell r="C117" t="str">
            <v>5100016</v>
          </cell>
          <cell r="D117" t="str">
            <v>ESTRADA, SONIA P</v>
          </cell>
          <cell r="E117" t="str">
            <v>RCYPC</v>
          </cell>
          <cell r="F117" t="str">
            <v>Recycling Programs Coordn</v>
          </cell>
          <cell r="G117">
            <v>0</v>
          </cell>
          <cell r="H117">
            <v>0</v>
          </cell>
          <cell r="I117">
            <v>29227</v>
          </cell>
          <cell r="J117">
            <v>29227</v>
          </cell>
          <cell r="K117">
            <v>32568</v>
          </cell>
          <cell r="L117">
            <v>0</v>
          </cell>
          <cell r="M117">
            <v>45.027999999999999</v>
          </cell>
          <cell r="N117">
            <v>22237</v>
          </cell>
          <cell r="O117">
            <v>2611201</v>
          </cell>
          <cell r="P117" t="str">
            <v>22</v>
          </cell>
          <cell r="Q117" t="str">
            <v>Y</v>
          </cell>
          <cell r="R117">
            <v>0</v>
          </cell>
          <cell r="S117">
            <v>0</v>
          </cell>
          <cell r="T117" t="str">
            <v>NonU</v>
          </cell>
          <cell r="U117" t="str">
            <v>SSC</v>
          </cell>
          <cell r="V117" t="str">
            <v>NonU</v>
          </cell>
        </row>
        <row r="118">
          <cell r="B118">
            <v>40731</v>
          </cell>
          <cell r="C118" t="str">
            <v>5100014</v>
          </cell>
          <cell r="D118" t="str">
            <v>ALVAREZ, JUAN C.</v>
          </cell>
          <cell r="E118" t="str">
            <v>FTSTC3</v>
          </cell>
          <cell r="F118" t="str">
            <v>Driver - Fantastic 3</v>
          </cell>
          <cell r="G118" t="str">
            <v>3</v>
          </cell>
          <cell r="H118" t="str">
            <v>350S</v>
          </cell>
          <cell r="I118">
            <v>32573</v>
          </cell>
          <cell r="J118">
            <v>32699</v>
          </cell>
          <cell r="K118">
            <v>32573</v>
          </cell>
          <cell r="L118" t="str">
            <v>DSP</v>
          </cell>
          <cell r="M118">
            <v>42.23</v>
          </cell>
          <cell r="N118">
            <v>22247</v>
          </cell>
          <cell r="O118">
            <v>658179</v>
          </cell>
          <cell r="P118">
            <v>0</v>
          </cell>
          <cell r="Q118" t="str">
            <v>N</v>
          </cell>
          <cell r="R118">
            <v>0</v>
          </cell>
          <cell r="S118">
            <v>0</v>
          </cell>
          <cell r="T118" t="str">
            <v>Driver - Lead</v>
          </cell>
          <cell r="U118" t="str">
            <v>SSC</v>
          </cell>
          <cell r="V118" t="str">
            <v>350S</v>
          </cell>
        </row>
        <row r="119">
          <cell r="B119">
            <v>40918</v>
          </cell>
          <cell r="C119" t="str">
            <v>5100014</v>
          </cell>
          <cell r="D119" t="str">
            <v>PIERI JR, PAUL F.</v>
          </cell>
          <cell r="E119" t="str">
            <v>FTSTC3</v>
          </cell>
          <cell r="F119" t="str">
            <v>Driver - Fantastic 3</v>
          </cell>
          <cell r="G119" t="str">
            <v>3</v>
          </cell>
          <cell r="H119" t="str">
            <v>350S</v>
          </cell>
          <cell r="I119">
            <v>32574</v>
          </cell>
          <cell r="J119">
            <v>32700</v>
          </cell>
          <cell r="K119">
            <v>32574</v>
          </cell>
          <cell r="L119" t="str">
            <v>DSP</v>
          </cell>
          <cell r="M119">
            <v>42.23</v>
          </cell>
          <cell r="N119">
            <v>23894</v>
          </cell>
          <cell r="O119">
            <v>627137</v>
          </cell>
          <cell r="P119">
            <v>0</v>
          </cell>
          <cell r="Q119" t="str">
            <v>N</v>
          </cell>
          <cell r="R119">
            <v>0</v>
          </cell>
          <cell r="S119">
            <v>0</v>
          </cell>
          <cell r="T119" t="str">
            <v>Driver - Lead</v>
          </cell>
          <cell r="U119" t="str">
            <v>SSC</v>
          </cell>
          <cell r="V119" t="str">
            <v>350S</v>
          </cell>
        </row>
        <row r="120">
          <cell r="B120">
            <v>40758</v>
          </cell>
          <cell r="C120" t="str">
            <v>5100041</v>
          </cell>
          <cell r="D120" t="str">
            <v>BLUFORD, RICHARD</v>
          </cell>
          <cell r="E120" t="str">
            <v>DRFTLR</v>
          </cell>
          <cell r="F120" t="str">
            <v>Driver - Frontloader</v>
          </cell>
          <cell r="G120" t="str">
            <v>3</v>
          </cell>
          <cell r="H120" t="str">
            <v>350S</v>
          </cell>
          <cell r="I120">
            <v>32575</v>
          </cell>
          <cell r="J120">
            <v>32701</v>
          </cell>
          <cell r="K120">
            <v>32575</v>
          </cell>
          <cell r="L120" t="str">
            <v>DSP</v>
          </cell>
          <cell r="M120">
            <v>42.23</v>
          </cell>
          <cell r="N120">
            <v>22052</v>
          </cell>
          <cell r="O120">
            <v>350705</v>
          </cell>
          <cell r="P120">
            <v>0</v>
          </cell>
          <cell r="Q120" t="str">
            <v>N</v>
          </cell>
          <cell r="R120">
            <v>0</v>
          </cell>
          <cell r="S120">
            <v>0</v>
          </cell>
          <cell r="T120" t="str">
            <v>Driver - Lead</v>
          </cell>
          <cell r="U120" t="str">
            <v>SSC</v>
          </cell>
          <cell r="V120" t="str">
            <v>350S</v>
          </cell>
        </row>
        <row r="121">
          <cell r="B121">
            <v>40934</v>
          </cell>
          <cell r="C121" t="str">
            <v>5100014</v>
          </cell>
          <cell r="D121" t="str">
            <v>ROMERO, EZEQUIEL</v>
          </cell>
          <cell r="E121" t="str">
            <v>FTSTC3</v>
          </cell>
          <cell r="F121" t="str">
            <v>Driver - Fantastic 3</v>
          </cell>
          <cell r="G121" t="str">
            <v>3</v>
          </cell>
          <cell r="H121" t="str">
            <v>350S</v>
          </cell>
          <cell r="I121">
            <v>32377</v>
          </cell>
          <cell r="J121">
            <v>32503</v>
          </cell>
          <cell r="K121">
            <v>32576</v>
          </cell>
          <cell r="L121" t="str">
            <v>DSP</v>
          </cell>
          <cell r="M121">
            <v>42.23</v>
          </cell>
          <cell r="N121">
            <v>21315</v>
          </cell>
          <cell r="O121">
            <v>627137</v>
          </cell>
          <cell r="P121">
            <v>0</v>
          </cell>
          <cell r="Q121" t="str">
            <v>N</v>
          </cell>
          <cell r="R121">
            <v>0</v>
          </cell>
          <cell r="S121">
            <v>0</v>
          </cell>
          <cell r="T121" t="str">
            <v>Driver - Lead</v>
          </cell>
          <cell r="U121" t="str">
            <v>SSC</v>
          </cell>
          <cell r="V121" t="str">
            <v>350S</v>
          </cell>
        </row>
        <row r="122">
          <cell r="B122">
            <v>41611</v>
          </cell>
          <cell r="C122" t="str">
            <v>5100014</v>
          </cell>
          <cell r="D122" t="str">
            <v>PERRY, RICHARD</v>
          </cell>
          <cell r="E122" t="str">
            <v>FTSTC3</v>
          </cell>
          <cell r="F122" t="str">
            <v>Driver - Fantastic 3</v>
          </cell>
          <cell r="G122" t="str">
            <v>3</v>
          </cell>
          <cell r="H122" t="str">
            <v>350S</v>
          </cell>
          <cell r="I122">
            <v>31795</v>
          </cell>
          <cell r="J122">
            <v>31921</v>
          </cell>
          <cell r="K122">
            <v>32580</v>
          </cell>
          <cell r="L122" t="str">
            <v>DSP</v>
          </cell>
          <cell r="M122">
            <v>42.23</v>
          </cell>
          <cell r="N122">
            <v>18472</v>
          </cell>
          <cell r="O122">
            <v>39239</v>
          </cell>
          <cell r="P122">
            <v>0</v>
          </cell>
          <cell r="Q122" t="str">
            <v>N</v>
          </cell>
          <cell r="R122">
            <v>0</v>
          </cell>
          <cell r="S122">
            <v>0</v>
          </cell>
          <cell r="T122" t="str">
            <v>Driver - Lead</v>
          </cell>
          <cell r="U122" t="str">
            <v>SSC</v>
          </cell>
          <cell r="V122" t="str">
            <v>350S</v>
          </cell>
        </row>
        <row r="123">
          <cell r="B123">
            <v>41620</v>
          </cell>
          <cell r="C123" t="str">
            <v>5100014</v>
          </cell>
          <cell r="D123" t="str">
            <v>RAMOS, ROBERTO</v>
          </cell>
          <cell r="E123" t="str">
            <v>FTSTC3</v>
          </cell>
          <cell r="F123" t="str">
            <v>Driver - Fantastic 3</v>
          </cell>
          <cell r="G123" t="str">
            <v>3</v>
          </cell>
          <cell r="H123" t="str">
            <v>350S</v>
          </cell>
          <cell r="I123">
            <v>32580</v>
          </cell>
          <cell r="J123">
            <v>32706</v>
          </cell>
          <cell r="K123">
            <v>32580</v>
          </cell>
          <cell r="L123" t="str">
            <v>DSP</v>
          </cell>
          <cell r="M123">
            <v>42.23</v>
          </cell>
          <cell r="N123">
            <v>20833</v>
          </cell>
          <cell r="O123">
            <v>627137</v>
          </cell>
          <cell r="P123">
            <v>0</v>
          </cell>
          <cell r="Q123" t="str">
            <v>N</v>
          </cell>
          <cell r="R123">
            <v>0</v>
          </cell>
          <cell r="S123">
            <v>0</v>
          </cell>
          <cell r="T123" t="str">
            <v>Driver - Lead</v>
          </cell>
          <cell r="U123" t="str">
            <v>SSC</v>
          </cell>
          <cell r="V123" t="str">
            <v>350S</v>
          </cell>
        </row>
        <row r="124">
          <cell r="B124">
            <v>40766</v>
          </cell>
          <cell r="C124" t="str">
            <v>5100014</v>
          </cell>
          <cell r="D124" t="str">
            <v>BOHANNON, NORA</v>
          </cell>
          <cell r="E124" t="str">
            <v>FTSTC3</v>
          </cell>
          <cell r="F124" t="str">
            <v>Driver - Fantastic 3</v>
          </cell>
          <cell r="G124" t="str">
            <v>3</v>
          </cell>
          <cell r="H124" t="str">
            <v>350S</v>
          </cell>
          <cell r="I124">
            <v>32587</v>
          </cell>
          <cell r="J124">
            <v>32713</v>
          </cell>
          <cell r="K124">
            <v>32587</v>
          </cell>
          <cell r="L124" t="str">
            <v>DSP</v>
          </cell>
          <cell r="M124">
            <v>42.23</v>
          </cell>
          <cell r="N124">
            <v>22446</v>
          </cell>
          <cell r="O124">
            <v>3762393</v>
          </cell>
          <cell r="P124">
            <v>0</v>
          </cell>
          <cell r="Q124" t="str">
            <v>N</v>
          </cell>
          <cell r="R124">
            <v>0</v>
          </cell>
          <cell r="S124">
            <v>0</v>
          </cell>
          <cell r="T124" t="str">
            <v>Driver - Lead</v>
          </cell>
          <cell r="U124" t="str">
            <v>SSC</v>
          </cell>
          <cell r="V124" t="str">
            <v>350S</v>
          </cell>
        </row>
        <row r="125">
          <cell r="B125">
            <v>40811</v>
          </cell>
          <cell r="C125" t="str">
            <v>5100014</v>
          </cell>
          <cell r="D125" t="str">
            <v>GONZALEZ, JAIME P</v>
          </cell>
          <cell r="E125" t="str">
            <v>FTSTC3</v>
          </cell>
          <cell r="F125" t="str">
            <v>Driver - Fantastic 3</v>
          </cell>
          <cell r="G125" t="str">
            <v>3</v>
          </cell>
          <cell r="H125" t="str">
            <v>350S</v>
          </cell>
          <cell r="I125">
            <v>32617</v>
          </cell>
          <cell r="J125">
            <v>32743</v>
          </cell>
          <cell r="K125">
            <v>32617</v>
          </cell>
          <cell r="L125" t="str">
            <v>DSP</v>
          </cell>
          <cell r="M125">
            <v>42.23</v>
          </cell>
          <cell r="N125">
            <v>23903</v>
          </cell>
          <cell r="O125">
            <v>39239</v>
          </cell>
          <cell r="P125">
            <v>0</v>
          </cell>
          <cell r="Q125" t="str">
            <v>N</v>
          </cell>
          <cell r="R125">
            <v>0</v>
          </cell>
          <cell r="S125">
            <v>0</v>
          </cell>
          <cell r="T125" t="str">
            <v>Driver - Lead</v>
          </cell>
          <cell r="U125" t="str">
            <v>SSC</v>
          </cell>
          <cell r="V125" t="str">
            <v>350S</v>
          </cell>
        </row>
        <row r="126">
          <cell r="B126">
            <v>41603</v>
          </cell>
          <cell r="C126" t="str">
            <v>5100014</v>
          </cell>
          <cell r="D126" t="str">
            <v>MURPHY, MATTHEW D.</v>
          </cell>
          <cell r="E126" t="str">
            <v>FTSTC3</v>
          </cell>
          <cell r="F126" t="str">
            <v>Driver - Fantastic 3</v>
          </cell>
          <cell r="G126" t="str">
            <v>3</v>
          </cell>
          <cell r="H126" t="str">
            <v>350S</v>
          </cell>
          <cell r="I126">
            <v>32622</v>
          </cell>
          <cell r="J126">
            <v>32748</v>
          </cell>
          <cell r="K126">
            <v>32622</v>
          </cell>
          <cell r="L126" t="str">
            <v>DSP</v>
          </cell>
          <cell r="M126">
            <v>42.23</v>
          </cell>
          <cell r="N126">
            <v>20363</v>
          </cell>
          <cell r="O126">
            <v>627137</v>
          </cell>
          <cell r="P126">
            <v>0</v>
          </cell>
          <cell r="Q126" t="str">
            <v>N</v>
          </cell>
          <cell r="R126">
            <v>0</v>
          </cell>
          <cell r="S126">
            <v>0</v>
          </cell>
          <cell r="T126" t="str">
            <v>Driver - Lead</v>
          </cell>
          <cell r="U126" t="str">
            <v>SSC</v>
          </cell>
          <cell r="V126" t="str">
            <v>350S</v>
          </cell>
        </row>
        <row r="127">
          <cell r="B127">
            <v>40740</v>
          </cell>
          <cell r="C127" t="str">
            <v>5100014</v>
          </cell>
          <cell r="D127" t="str">
            <v>ARAFELIS, FRED G.</v>
          </cell>
          <cell r="E127" t="str">
            <v>FTSTC3</v>
          </cell>
          <cell r="F127" t="str">
            <v>Driver - Fantastic 3</v>
          </cell>
          <cell r="G127" t="str">
            <v>3</v>
          </cell>
          <cell r="H127" t="str">
            <v>350S</v>
          </cell>
          <cell r="I127">
            <v>32637</v>
          </cell>
          <cell r="J127">
            <v>32763</v>
          </cell>
          <cell r="K127">
            <v>32637</v>
          </cell>
          <cell r="L127" t="str">
            <v>DSP</v>
          </cell>
          <cell r="M127">
            <v>42.23</v>
          </cell>
          <cell r="N127">
            <v>21644</v>
          </cell>
          <cell r="O127">
            <v>627137</v>
          </cell>
          <cell r="P127">
            <v>0</v>
          </cell>
          <cell r="Q127" t="str">
            <v>N</v>
          </cell>
          <cell r="R127">
            <v>0</v>
          </cell>
          <cell r="S127">
            <v>0</v>
          </cell>
          <cell r="T127" t="str">
            <v>Driver - Lead</v>
          </cell>
          <cell r="U127" t="str">
            <v>SSC</v>
          </cell>
          <cell r="V127" t="str">
            <v>350S</v>
          </cell>
        </row>
        <row r="128">
          <cell r="B128">
            <v>41591</v>
          </cell>
          <cell r="C128" t="str">
            <v>5100014</v>
          </cell>
          <cell r="D128" t="str">
            <v>JULIAN, MICHAEL E.</v>
          </cell>
          <cell r="E128" t="str">
            <v>FTSTC3</v>
          </cell>
          <cell r="F128" t="str">
            <v>Driver - Fantastic 3</v>
          </cell>
          <cell r="G128" t="str">
            <v>3</v>
          </cell>
          <cell r="H128" t="str">
            <v>350S</v>
          </cell>
          <cell r="I128">
            <v>32811</v>
          </cell>
          <cell r="J128">
            <v>32937</v>
          </cell>
          <cell r="K128">
            <v>32811</v>
          </cell>
          <cell r="L128" t="str">
            <v>DSP</v>
          </cell>
          <cell r="M128">
            <v>42.23</v>
          </cell>
          <cell r="N128">
            <v>20935</v>
          </cell>
          <cell r="O128">
            <v>627137</v>
          </cell>
          <cell r="P128">
            <v>0</v>
          </cell>
          <cell r="Q128" t="str">
            <v>N</v>
          </cell>
          <cell r="R128">
            <v>0</v>
          </cell>
          <cell r="S128">
            <v>0</v>
          </cell>
          <cell r="T128" t="str">
            <v>Driver - Lead</v>
          </cell>
          <cell r="U128" t="str">
            <v>SSC</v>
          </cell>
          <cell r="V128" t="str">
            <v>350S</v>
          </cell>
        </row>
        <row r="129">
          <cell r="B129">
            <v>49859</v>
          </cell>
          <cell r="C129" t="str">
            <v>5100125</v>
          </cell>
          <cell r="D129" t="str">
            <v>BESSO, ROBERT A.</v>
          </cell>
          <cell r="E129" t="str">
            <v>OPSMG</v>
          </cell>
          <cell r="F129" t="str">
            <v>Operations Manager</v>
          </cell>
          <cell r="G129" t="str">
            <v>3</v>
          </cell>
          <cell r="H129">
            <v>0</v>
          </cell>
          <cell r="I129">
            <v>31628</v>
          </cell>
          <cell r="J129">
            <v>31628</v>
          </cell>
          <cell r="K129">
            <v>32874</v>
          </cell>
          <cell r="L129" t="str">
            <v>MG1</v>
          </cell>
          <cell r="M129">
            <v>52.76</v>
          </cell>
          <cell r="N129">
            <v>18895</v>
          </cell>
          <cell r="O129">
            <v>101354</v>
          </cell>
          <cell r="P129" t="str">
            <v>24</v>
          </cell>
          <cell r="Q129" t="str">
            <v>Y</v>
          </cell>
          <cell r="R129">
            <v>0</v>
          </cell>
          <cell r="S129">
            <v>0</v>
          </cell>
          <cell r="T129" t="str">
            <v>NonU</v>
          </cell>
          <cell r="U129" t="str">
            <v>SSC</v>
          </cell>
          <cell r="V129" t="str">
            <v>NonU</v>
          </cell>
        </row>
        <row r="130">
          <cell r="B130">
            <v>54543</v>
          </cell>
          <cell r="C130" t="str">
            <v>5100014</v>
          </cell>
          <cell r="D130" t="str">
            <v>DEGLIANTONI, GARY</v>
          </cell>
          <cell r="E130" t="str">
            <v>FTSTC3</v>
          </cell>
          <cell r="F130" t="str">
            <v>Driver - Fantastic 3</v>
          </cell>
          <cell r="G130" t="str">
            <v>3</v>
          </cell>
          <cell r="H130" t="str">
            <v>350S</v>
          </cell>
          <cell r="I130">
            <v>32944</v>
          </cell>
          <cell r="J130">
            <v>33070</v>
          </cell>
          <cell r="K130">
            <v>32944</v>
          </cell>
          <cell r="L130" t="str">
            <v>DSP</v>
          </cell>
          <cell r="M130">
            <v>42.23</v>
          </cell>
          <cell r="N130">
            <v>21486</v>
          </cell>
          <cell r="O130">
            <v>38906</v>
          </cell>
          <cell r="P130">
            <v>0</v>
          </cell>
          <cell r="Q130" t="str">
            <v>N</v>
          </cell>
          <cell r="R130">
            <v>0</v>
          </cell>
          <cell r="S130">
            <v>0</v>
          </cell>
          <cell r="T130" t="str">
            <v>Driver - Lead</v>
          </cell>
          <cell r="U130" t="str">
            <v>SSC</v>
          </cell>
          <cell r="V130" t="str">
            <v>350S</v>
          </cell>
        </row>
        <row r="131">
          <cell r="B131">
            <v>54551</v>
          </cell>
          <cell r="C131" t="str">
            <v>5100014</v>
          </cell>
          <cell r="D131" t="str">
            <v>ELLIS, CARL L.</v>
          </cell>
          <cell r="E131" t="str">
            <v>FTSTC3</v>
          </cell>
          <cell r="F131" t="str">
            <v>Driver - Fantastic 3</v>
          </cell>
          <cell r="G131" t="str">
            <v>3</v>
          </cell>
          <cell r="H131" t="str">
            <v>350S</v>
          </cell>
          <cell r="I131">
            <v>32944</v>
          </cell>
          <cell r="J131">
            <v>33070</v>
          </cell>
          <cell r="K131">
            <v>32944</v>
          </cell>
          <cell r="L131" t="str">
            <v>DSP</v>
          </cell>
          <cell r="M131">
            <v>42.23</v>
          </cell>
          <cell r="N131">
            <v>20117</v>
          </cell>
          <cell r="O131">
            <v>93497</v>
          </cell>
          <cell r="P131">
            <v>0</v>
          </cell>
          <cell r="Q131" t="str">
            <v>N</v>
          </cell>
          <cell r="R131">
            <v>0</v>
          </cell>
          <cell r="S131">
            <v>0</v>
          </cell>
          <cell r="T131" t="str">
            <v>Driver - Lead</v>
          </cell>
          <cell r="U131" t="str">
            <v>SSC</v>
          </cell>
          <cell r="V131" t="str">
            <v>350S</v>
          </cell>
        </row>
        <row r="132">
          <cell r="B132">
            <v>54586</v>
          </cell>
          <cell r="C132" t="str">
            <v>5100014</v>
          </cell>
          <cell r="D132" t="str">
            <v>MARIDUENA, JAVIER G.</v>
          </cell>
          <cell r="E132" t="str">
            <v>FTSTC3</v>
          </cell>
          <cell r="F132" t="str">
            <v>Driver - Fantastic 3</v>
          </cell>
          <cell r="G132" t="str">
            <v>3</v>
          </cell>
          <cell r="H132" t="str">
            <v>350S</v>
          </cell>
          <cell r="I132">
            <v>32944</v>
          </cell>
          <cell r="J132">
            <v>33070</v>
          </cell>
          <cell r="K132">
            <v>32944</v>
          </cell>
          <cell r="L132" t="str">
            <v>DSP</v>
          </cell>
          <cell r="M132">
            <v>42.23</v>
          </cell>
          <cell r="N132">
            <v>18890</v>
          </cell>
          <cell r="O132">
            <v>38906</v>
          </cell>
          <cell r="P132">
            <v>0</v>
          </cell>
          <cell r="Q132" t="str">
            <v>N</v>
          </cell>
          <cell r="R132">
            <v>0</v>
          </cell>
          <cell r="S132">
            <v>0</v>
          </cell>
          <cell r="T132" t="str">
            <v>Driver - Lead</v>
          </cell>
          <cell r="U132" t="str">
            <v>SSC</v>
          </cell>
          <cell r="V132" t="str">
            <v>350S</v>
          </cell>
        </row>
        <row r="133">
          <cell r="B133">
            <v>54594</v>
          </cell>
          <cell r="C133" t="str">
            <v>5100014</v>
          </cell>
          <cell r="D133" t="str">
            <v>PAYNE, MARK J</v>
          </cell>
          <cell r="E133" t="str">
            <v>FTSTC3</v>
          </cell>
          <cell r="F133" t="str">
            <v>Driver - Fantastic 3</v>
          </cell>
          <cell r="G133" t="str">
            <v>3</v>
          </cell>
          <cell r="H133" t="str">
            <v>350S</v>
          </cell>
          <cell r="I133">
            <v>32944</v>
          </cell>
          <cell r="J133">
            <v>33070</v>
          </cell>
          <cell r="K133">
            <v>32944</v>
          </cell>
          <cell r="L133" t="str">
            <v>DSP</v>
          </cell>
          <cell r="M133">
            <v>42.23</v>
          </cell>
          <cell r="N133">
            <v>22540</v>
          </cell>
          <cell r="O133">
            <v>39239</v>
          </cell>
          <cell r="P133">
            <v>0</v>
          </cell>
          <cell r="Q133" t="str">
            <v>N</v>
          </cell>
          <cell r="R133">
            <v>0</v>
          </cell>
          <cell r="S133">
            <v>0</v>
          </cell>
          <cell r="T133" t="str">
            <v>Driver - Lead</v>
          </cell>
          <cell r="U133" t="str">
            <v>SSC</v>
          </cell>
          <cell r="V133" t="str">
            <v>350S</v>
          </cell>
        </row>
        <row r="134">
          <cell r="B134">
            <v>56899</v>
          </cell>
          <cell r="C134" t="str">
            <v>5100014</v>
          </cell>
          <cell r="D134" t="str">
            <v>KWAN, MARVIN F.</v>
          </cell>
          <cell r="E134" t="str">
            <v>FTSTC3</v>
          </cell>
          <cell r="F134" t="str">
            <v>Driver - Fantastic 3</v>
          </cell>
          <cell r="G134" t="str">
            <v>3</v>
          </cell>
          <cell r="H134" t="str">
            <v>350S</v>
          </cell>
          <cell r="I134">
            <v>32643</v>
          </cell>
          <cell r="J134">
            <v>32769</v>
          </cell>
          <cell r="K134">
            <v>33008</v>
          </cell>
          <cell r="L134" t="str">
            <v>DSP</v>
          </cell>
          <cell r="M134">
            <v>42.23</v>
          </cell>
          <cell r="N134">
            <v>22952</v>
          </cell>
          <cell r="O134">
            <v>627137</v>
          </cell>
          <cell r="P134">
            <v>0</v>
          </cell>
          <cell r="Q134" t="str">
            <v>N</v>
          </cell>
          <cell r="R134">
            <v>0</v>
          </cell>
          <cell r="S134">
            <v>0</v>
          </cell>
          <cell r="T134" t="str">
            <v>Driver - Lead</v>
          </cell>
          <cell r="U134" t="str">
            <v>SSC</v>
          </cell>
          <cell r="V134" t="str">
            <v>350S</v>
          </cell>
        </row>
        <row r="135">
          <cell r="B135">
            <v>57980</v>
          </cell>
          <cell r="C135" t="str">
            <v>5100014</v>
          </cell>
          <cell r="D135" t="str">
            <v>MINSHALL, WILLIAM J.</v>
          </cell>
          <cell r="E135" t="str">
            <v>FTSTC3</v>
          </cell>
          <cell r="F135" t="str">
            <v>Driver - Fantastic 3</v>
          </cell>
          <cell r="G135" t="str">
            <v>3</v>
          </cell>
          <cell r="H135" t="str">
            <v>350S</v>
          </cell>
          <cell r="I135">
            <v>33059</v>
          </cell>
          <cell r="J135">
            <v>33185</v>
          </cell>
          <cell r="K135">
            <v>33059</v>
          </cell>
          <cell r="L135" t="str">
            <v>DSP</v>
          </cell>
          <cell r="M135">
            <v>42.23</v>
          </cell>
          <cell r="N135">
            <v>20837</v>
          </cell>
          <cell r="O135">
            <v>38906</v>
          </cell>
          <cell r="P135">
            <v>0</v>
          </cell>
          <cell r="Q135" t="str">
            <v>N</v>
          </cell>
          <cell r="R135">
            <v>0</v>
          </cell>
          <cell r="S135">
            <v>0</v>
          </cell>
          <cell r="T135" t="str">
            <v>Driver - Lead</v>
          </cell>
          <cell r="U135" t="str">
            <v>SSC</v>
          </cell>
          <cell r="V135" t="str">
            <v>350S</v>
          </cell>
        </row>
        <row r="136">
          <cell r="B136">
            <v>59416</v>
          </cell>
          <cell r="C136" t="str">
            <v>5100013</v>
          </cell>
          <cell r="D136" t="str">
            <v>BELLOTTI, RICKEY C.</v>
          </cell>
          <cell r="E136" t="str">
            <v>DRBIC</v>
          </cell>
          <cell r="F136" t="str">
            <v>Driver - BIC</v>
          </cell>
          <cell r="G136" t="str">
            <v>3</v>
          </cell>
          <cell r="H136" t="str">
            <v>350S</v>
          </cell>
          <cell r="I136">
            <v>33098</v>
          </cell>
          <cell r="J136">
            <v>33224</v>
          </cell>
          <cell r="K136">
            <v>33098</v>
          </cell>
          <cell r="L136" t="str">
            <v>DSP</v>
          </cell>
          <cell r="M136">
            <v>42.23</v>
          </cell>
          <cell r="N136">
            <v>21102</v>
          </cell>
          <cell r="O136">
            <v>350705</v>
          </cell>
          <cell r="P136">
            <v>0</v>
          </cell>
          <cell r="Q136" t="str">
            <v>N</v>
          </cell>
          <cell r="R136">
            <v>0</v>
          </cell>
          <cell r="S136">
            <v>0</v>
          </cell>
          <cell r="T136" t="str">
            <v>Driver - BIC</v>
          </cell>
          <cell r="U136" t="str">
            <v>SSC</v>
          </cell>
          <cell r="V136" t="str">
            <v>350S</v>
          </cell>
        </row>
        <row r="137">
          <cell r="B137">
            <v>59504</v>
          </cell>
          <cell r="C137" t="str">
            <v>5100014</v>
          </cell>
          <cell r="D137" t="str">
            <v>MARTINEZ, JOSE R.</v>
          </cell>
          <cell r="E137" t="str">
            <v>FTSTC3</v>
          </cell>
          <cell r="F137" t="str">
            <v>Driver - Fantastic 3</v>
          </cell>
          <cell r="G137" t="str">
            <v>3</v>
          </cell>
          <cell r="H137" t="str">
            <v>350S</v>
          </cell>
          <cell r="I137">
            <v>33098</v>
          </cell>
          <cell r="J137">
            <v>33224</v>
          </cell>
          <cell r="K137">
            <v>33098</v>
          </cell>
          <cell r="L137" t="str">
            <v>DSP</v>
          </cell>
          <cell r="M137">
            <v>42.23</v>
          </cell>
          <cell r="N137">
            <v>19223</v>
          </cell>
          <cell r="O137">
            <v>38228</v>
          </cell>
          <cell r="P137">
            <v>0</v>
          </cell>
          <cell r="Q137" t="str">
            <v>N</v>
          </cell>
          <cell r="R137">
            <v>0</v>
          </cell>
          <cell r="S137">
            <v>0</v>
          </cell>
          <cell r="T137" t="str">
            <v>Driver - Lead</v>
          </cell>
          <cell r="U137" t="str">
            <v>SSC</v>
          </cell>
          <cell r="V137" t="str">
            <v>350S</v>
          </cell>
        </row>
        <row r="138">
          <cell r="B138">
            <v>60214</v>
          </cell>
          <cell r="C138" t="str">
            <v>5100014</v>
          </cell>
          <cell r="D138" t="str">
            <v>FLORES, FRANK L.</v>
          </cell>
          <cell r="E138" t="str">
            <v>FTSTC3</v>
          </cell>
          <cell r="F138" t="str">
            <v>Driver - Fantastic 3</v>
          </cell>
          <cell r="G138" t="str">
            <v>3</v>
          </cell>
          <cell r="H138" t="str">
            <v>350S</v>
          </cell>
          <cell r="I138">
            <v>33105</v>
          </cell>
          <cell r="J138">
            <v>33231</v>
          </cell>
          <cell r="K138">
            <v>33105</v>
          </cell>
          <cell r="L138" t="str">
            <v>DSP</v>
          </cell>
          <cell r="M138">
            <v>42.23</v>
          </cell>
          <cell r="N138">
            <v>21656</v>
          </cell>
          <cell r="O138">
            <v>38906</v>
          </cell>
          <cell r="P138">
            <v>0</v>
          </cell>
          <cell r="Q138" t="str">
            <v>N</v>
          </cell>
          <cell r="R138">
            <v>0</v>
          </cell>
          <cell r="S138">
            <v>0</v>
          </cell>
          <cell r="T138" t="str">
            <v>Driver - Lead</v>
          </cell>
          <cell r="U138" t="str">
            <v>SSC</v>
          </cell>
          <cell r="V138" t="str">
            <v>350S</v>
          </cell>
        </row>
        <row r="139">
          <cell r="B139">
            <v>60222</v>
          </cell>
          <cell r="C139">
            <v>5100013</v>
          </cell>
          <cell r="D139" t="str">
            <v>HAZLEWOOD, STEPHEN J.</v>
          </cell>
          <cell r="E139" t="str">
            <v>DRBIC</v>
          </cell>
          <cell r="F139" t="str">
            <v>Driver - BIC</v>
          </cell>
          <cell r="G139" t="str">
            <v>3</v>
          </cell>
          <cell r="H139" t="str">
            <v>350S</v>
          </cell>
          <cell r="I139">
            <v>33105</v>
          </cell>
          <cell r="J139">
            <v>33231</v>
          </cell>
          <cell r="K139">
            <v>33105</v>
          </cell>
          <cell r="L139" t="str">
            <v>DSP</v>
          </cell>
          <cell r="M139">
            <v>42.23</v>
          </cell>
          <cell r="N139">
            <v>19599</v>
          </cell>
          <cell r="O139">
            <v>627137</v>
          </cell>
          <cell r="P139">
            <v>0</v>
          </cell>
          <cell r="Q139" t="str">
            <v>N</v>
          </cell>
          <cell r="R139">
            <v>0</v>
          </cell>
          <cell r="S139">
            <v>0</v>
          </cell>
          <cell r="T139" t="str">
            <v>Driver - BIC</v>
          </cell>
          <cell r="U139" t="str">
            <v>SSC</v>
          </cell>
          <cell r="V139" t="str">
            <v>350S</v>
          </cell>
        </row>
        <row r="140">
          <cell r="B140">
            <v>60249</v>
          </cell>
          <cell r="C140" t="str">
            <v>5100122</v>
          </cell>
          <cell r="D140" t="str">
            <v>ZERMENO JR, ARMANDO</v>
          </cell>
          <cell r="E140" t="str">
            <v>DRCOM</v>
          </cell>
          <cell r="F140" t="str">
            <v>Driver - Commercial</v>
          </cell>
          <cell r="G140" t="str">
            <v>3</v>
          </cell>
          <cell r="H140" t="str">
            <v>350S</v>
          </cell>
          <cell r="I140">
            <v>33105</v>
          </cell>
          <cell r="J140">
            <v>33231</v>
          </cell>
          <cell r="K140">
            <v>33105</v>
          </cell>
          <cell r="L140" t="str">
            <v>DSP</v>
          </cell>
          <cell r="M140">
            <v>42.23</v>
          </cell>
          <cell r="N140">
            <v>24211</v>
          </cell>
          <cell r="O140">
            <v>93497</v>
          </cell>
          <cell r="P140">
            <v>0</v>
          </cell>
          <cell r="Q140" t="str">
            <v>N</v>
          </cell>
          <cell r="R140">
            <v>0</v>
          </cell>
          <cell r="S140">
            <v>0</v>
          </cell>
          <cell r="T140" t="str">
            <v>Driver - Lead</v>
          </cell>
          <cell r="U140" t="str">
            <v>SSC</v>
          </cell>
          <cell r="V140" t="str">
            <v>350S</v>
          </cell>
        </row>
        <row r="141">
          <cell r="B141">
            <v>60425</v>
          </cell>
          <cell r="C141" t="str">
            <v>5100014</v>
          </cell>
          <cell r="D141" t="str">
            <v>CLARK, DAVID R.</v>
          </cell>
          <cell r="E141" t="str">
            <v>FTSTC3</v>
          </cell>
          <cell r="F141" t="str">
            <v>Driver - Fantastic 3</v>
          </cell>
          <cell r="G141" t="str">
            <v>3</v>
          </cell>
          <cell r="H141" t="str">
            <v>350S</v>
          </cell>
          <cell r="I141">
            <v>33105</v>
          </cell>
          <cell r="J141">
            <v>33231</v>
          </cell>
          <cell r="K141">
            <v>33105</v>
          </cell>
          <cell r="L141" t="str">
            <v>DSP</v>
          </cell>
          <cell r="M141">
            <v>42.23</v>
          </cell>
          <cell r="N141">
            <v>20165</v>
          </cell>
          <cell r="O141">
            <v>627137</v>
          </cell>
          <cell r="P141">
            <v>0</v>
          </cell>
          <cell r="Q141" t="str">
            <v>N</v>
          </cell>
          <cell r="R141">
            <v>0</v>
          </cell>
          <cell r="S141">
            <v>0</v>
          </cell>
          <cell r="T141" t="str">
            <v>Driver - Lead</v>
          </cell>
          <cell r="U141" t="str">
            <v>SSC</v>
          </cell>
          <cell r="V141" t="str">
            <v>350S</v>
          </cell>
        </row>
        <row r="142">
          <cell r="B142">
            <v>61006</v>
          </cell>
          <cell r="C142" t="str">
            <v>5100510</v>
          </cell>
          <cell r="D142" t="str">
            <v>GUZMAN, FRANCISCO J.</v>
          </cell>
          <cell r="E142" t="str">
            <v>TGSHP</v>
          </cell>
          <cell r="F142" t="str">
            <v>Shop Person</v>
          </cell>
          <cell r="G142" t="str">
            <v>3</v>
          </cell>
          <cell r="H142" t="str">
            <v>350S</v>
          </cell>
          <cell r="I142">
            <v>32048</v>
          </cell>
          <cell r="J142">
            <v>32174</v>
          </cell>
          <cell r="K142">
            <v>33120</v>
          </cell>
          <cell r="L142" t="str">
            <v>SH2</v>
          </cell>
          <cell r="M142">
            <v>40.540999999999997</v>
          </cell>
          <cell r="N142">
            <v>23544</v>
          </cell>
          <cell r="O142">
            <v>648202</v>
          </cell>
          <cell r="P142">
            <v>0</v>
          </cell>
          <cell r="Q142" t="str">
            <v>N</v>
          </cell>
          <cell r="R142">
            <v>0</v>
          </cell>
          <cell r="S142">
            <v>0</v>
          </cell>
          <cell r="T142" t="str">
            <v>350S</v>
          </cell>
          <cell r="U142" t="str">
            <v>SSC</v>
          </cell>
          <cell r="V142" t="str">
            <v>350S</v>
          </cell>
        </row>
        <row r="143">
          <cell r="B143">
            <v>72469</v>
          </cell>
          <cell r="C143" t="str">
            <v>5100014</v>
          </cell>
          <cell r="D143" t="str">
            <v>ORTEGA, RICARDO</v>
          </cell>
          <cell r="E143" t="str">
            <v>FTSTC3</v>
          </cell>
          <cell r="F143" t="str">
            <v>Driver - Fantastic 3</v>
          </cell>
          <cell r="G143" t="str">
            <v>3</v>
          </cell>
          <cell r="H143" t="str">
            <v>350S</v>
          </cell>
          <cell r="I143">
            <v>33182</v>
          </cell>
          <cell r="J143">
            <v>33308</v>
          </cell>
          <cell r="K143">
            <v>33182</v>
          </cell>
          <cell r="L143" t="str">
            <v>DSP</v>
          </cell>
          <cell r="M143">
            <v>42.23</v>
          </cell>
          <cell r="N143">
            <v>24633</v>
          </cell>
          <cell r="O143">
            <v>38607</v>
          </cell>
          <cell r="P143">
            <v>0</v>
          </cell>
          <cell r="Q143" t="str">
            <v>N</v>
          </cell>
          <cell r="R143">
            <v>0</v>
          </cell>
          <cell r="S143">
            <v>0</v>
          </cell>
          <cell r="T143" t="str">
            <v>Driver - Lead</v>
          </cell>
          <cell r="U143" t="str">
            <v>SSC</v>
          </cell>
          <cell r="V143" t="str">
            <v>350S</v>
          </cell>
        </row>
        <row r="144">
          <cell r="B144">
            <v>72451</v>
          </cell>
          <cell r="C144" t="str">
            <v>5100014</v>
          </cell>
          <cell r="D144" t="str">
            <v>OROPEZA, PLACIDO</v>
          </cell>
          <cell r="E144" t="str">
            <v>FTSTC3</v>
          </cell>
          <cell r="F144" t="str">
            <v>Driver - Fantastic 3</v>
          </cell>
          <cell r="G144" t="str">
            <v>3</v>
          </cell>
          <cell r="H144" t="str">
            <v>350S</v>
          </cell>
          <cell r="I144">
            <v>33185</v>
          </cell>
          <cell r="J144">
            <v>33311</v>
          </cell>
          <cell r="K144">
            <v>33185</v>
          </cell>
          <cell r="L144" t="str">
            <v>DSP</v>
          </cell>
          <cell r="M144">
            <v>42.23</v>
          </cell>
          <cell r="N144">
            <v>20733</v>
          </cell>
          <cell r="O144">
            <v>93497</v>
          </cell>
          <cell r="P144">
            <v>0</v>
          </cell>
          <cell r="Q144" t="str">
            <v>N</v>
          </cell>
          <cell r="R144">
            <v>0</v>
          </cell>
          <cell r="S144">
            <v>0</v>
          </cell>
          <cell r="T144" t="str">
            <v>Driver - Lead</v>
          </cell>
          <cell r="U144" t="str">
            <v>SSC</v>
          </cell>
          <cell r="V144" t="str">
            <v>350S</v>
          </cell>
        </row>
        <row r="145">
          <cell r="B145">
            <v>73891</v>
          </cell>
          <cell r="C145" t="str">
            <v>5100014</v>
          </cell>
          <cell r="D145" t="str">
            <v>PITTO JR, FRANK J.</v>
          </cell>
          <cell r="E145" t="str">
            <v>FTSTC3</v>
          </cell>
          <cell r="F145" t="str">
            <v>Driver - Fantastic 3</v>
          </cell>
          <cell r="G145" t="str">
            <v>3</v>
          </cell>
          <cell r="H145" t="str">
            <v>350S</v>
          </cell>
          <cell r="I145">
            <v>33254</v>
          </cell>
          <cell r="J145">
            <v>33380</v>
          </cell>
          <cell r="K145">
            <v>33254</v>
          </cell>
          <cell r="L145" t="str">
            <v>DSP</v>
          </cell>
          <cell r="M145">
            <v>42.23</v>
          </cell>
          <cell r="N145">
            <v>26129</v>
          </cell>
          <cell r="O145">
            <v>39239</v>
          </cell>
          <cell r="P145">
            <v>0</v>
          </cell>
          <cell r="Q145" t="str">
            <v>N</v>
          </cell>
          <cell r="R145">
            <v>0</v>
          </cell>
          <cell r="S145">
            <v>0</v>
          </cell>
          <cell r="T145" t="str">
            <v>Driver - Lead</v>
          </cell>
          <cell r="U145" t="str">
            <v>SSC</v>
          </cell>
          <cell r="V145" t="str">
            <v>350S</v>
          </cell>
        </row>
        <row r="146">
          <cell r="B146">
            <v>74181</v>
          </cell>
          <cell r="C146" t="str">
            <v>5100812</v>
          </cell>
          <cell r="D146" t="str">
            <v>DOMDOMA, SHEILA J.</v>
          </cell>
          <cell r="E146" t="str">
            <v>ADAST2</v>
          </cell>
          <cell r="F146" t="str">
            <v>Admin Assistant II</v>
          </cell>
          <cell r="G146" t="str">
            <v>4</v>
          </cell>
          <cell r="H146" t="str">
            <v>350CLR</v>
          </cell>
          <cell r="I146">
            <v>33266</v>
          </cell>
          <cell r="J146">
            <v>1</v>
          </cell>
          <cell r="K146">
            <v>33266</v>
          </cell>
          <cell r="L146" t="str">
            <v>COM</v>
          </cell>
          <cell r="M146">
            <v>35.298000000000002</v>
          </cell>
          <cell r="N146">
            <v>19258</v>
          </cell>
          <cell r="O146">
            <v>465529</v>
          </cell>
          <cell r="P146">
            <v>0</v>
          </cell>
          <cell r="Q146" t="str">
            <v>N</v>
          </cell>
          <cell r="R146">
            <v>0</v>
          </cell>
          <cell r="S146">
            <v>0</v>
          </cell>
          <cell r="T146" t="str">
            <v>350CLR</v>
          </cell>
          <cell r="U146" t="str">
            <v>SSC</v>
          </cell>
          <cell r="V146" t="str">
            <v>350CLR</v>
          </cell>
        </row>
        <row r="147">
          <cell r="B147">
            <v>78027</v>
          </cell>
          <cell r="C147" t="str">
            <v>5100510</v>
          </cell>
          <cell r="D147" t="str">
            <v>GEORGE, DAWN T.</v>
          </cell>
          <cell r="E147" t="str">
            <v>CSREP2</v>
          </cell>
          <cell r="F147" t="str">
            <v>Customer Service Rep II</v>
          </cell>
          <cell r="G147" t="str">
            <v>4</v>
          </cell>
          <cell r="H147" t="str">
            <v>350CLR</v>
          </cell>
          <cell r="I147">
            <v>33476</v>
          </cell>
          <cell r="J147">
            <v>1</v>
          </cell>
          <cell r="K147">
            <v>33476</v>
          </cell>
          <cell r="L147" t="str">
            <v>SHP</v>
          </cell>
          <cell r="M147">
            <v>29.704999999999998</v>
          </cell>
          <cell r="N147">
            <v>24022</v>
          </cell>
          <cell r="O147">
            <v>58755</v>
          </cell>
          <cell r="P147">
            <v>0</v>
          </cell>
          <cell r="Q147" t="str">
            <v>N</v>
          </cell>
          <cell r="R147">
            <v>0</v>
          </cell>
          <cell r="S147">
            <v>0</v>
          </cell>
          <cell r="T147" t="str">
            <v>350CLR</v>
          </cell>
          <cell r="U147" t="str">
            <v>SSC</v>
          </cell>
          <cell r="V147" t="str">
            <v>350CLR</v>
          </cell>
        </row>
        <row r="148">
          <cell r="B148">
            <v>79020</v>
          </cell>
          <cell r="C148" t="str">
            <v>5100510</v>
          </cell>
          <cell r="D148" t="str">
            <v>PEREIRA, MELVIN T.</v>
          </cell>
          <cell r="E148" t="str">
            <v>MECHA1</v>
          </cell>
          <cell r="F148" t="str">
            <v>Mechanic (ASE Level 1)</v>
          </cell>
          <cell r="G148" t="str">
            <v>3</v>
          </cell>
          <cell r="H148" t="str">
            <v>350S</v>
          </cell>
          <cell r="I148">
            <v>33554</v>
          </cell>
          <cell r="J148">
            <v>33680</v>
          </cell>
          <cell r="K148">
            <v>33554</v>
          </cell>
          <cell r="L148" t="str">
            <v>SHP</v>
          </cell>
          <cell r="M148">
            <v>45.423000000000002</v>
          </cell>
          <cell r="N148">
            <v>22307</v>
          </cell>
          <cell r="O148">
            <v>58755</v>
          </cell>
          <cell r="P148">
            <v>0</v>
          </cell>
          <cell r="Q148" t="str">
            <v>N</v>
          </cell>
          <cell r="R148">
            <v>0</v>
          </cell>
          <cell r="S148">
            <v>0</v>
          </cell>
          <cell r="T148" t="str">
            <v>350S</v>
          </cell>
          <cell r="U148" t="str">
            <v>SSC</v>
          </cell>
          <cell r="V148" t="str">
            <v>350S</v>
          </cell>
        </row>
        <row r="149">
          <cell r="B149">
            <v>57824</v>
          </cell>
          <cell r="C149" t="str">
            <v>5100013</v>
          </cell>
          <cell r="D149" t="str">
            <v>MOORE, VICTOR S.</v>
          </cell>
          <cell r="E149" t="str">
            <v>DRBIC</v>
          </cell>
          <cell r="F149" t="str">
            <v>Driver - BIC</v>
          </cell>
          <cell r="G149" t="str">
            <v>3</v>
          </cell>
          <cell r="H149" t="str">
            <v>350S</v>
          </cell>
          <cell r="I149">
            <v>33666</v>
          </cell>
          <cell r="J149">
            <v>33792</v>
          </cell>
          <cell r="K149">
            <v>33666</v>
          </cell>
          <cell r="L149" t="str">
            <v>DSP</v>
          </cell>
          <cell r="M149">
            <v>42.23</v>
          </cell>
          <cell r="N149">
            <v>21576</v>
          </cell>
          <cell r="O149">
            <v>627137</v>
          </cell>
          <cell r="P149">
            <v>0</v>
          </cell>
          <cell r="Q149" t="str">
            <v>N</v>
          </cell>
          <cell r="R149">
            <v>0</v>
          </cell>
          <cell r="S149">
            <v>0</v>
          </cell>
          <cell r="T149" t="str">
            <v>Driver - BIC</v>
          </cell>
          <cell r="U149" t="str">
            <v>SSC</v>
          </cell>
          <cell r="V149" t="str">
            <v>350S</v>
          </cell>
        </row>
        <row r="150">
          <cell r="B150">
            <v>80514</v>
          </cell>
          <cell r="C150" t="str">
            <v>5100041</v>
          </cell>
          <cell r="D150" t="str">
            <v>BOLMER, FRANK F.</v>
          </cell>
          <cell r="E150" t="str">
            <v>DRFTLR</v>
          </cell>
          <cell r="F150" t="str">
            <v>Driver - Frontloader</v>
          </cell>
          <cell r="G150" t="str">
            <v>3</v>
          </cell>
          <cell r="H150" t="str">
            <v>350S</v>
          </cell>
          <cell r="I150">
            <v>33666</v>
          </cell>
          <cell r="J150">
            <v>33792</v>
          </cell>
          <cell r="K150">
            <v>33666</v>
          </cell>
          <cell r="L150" t="str">
            <v>DSP</v>
          </cell>
          <cell r="M150">
            <v>42.23</v>
          </cell>
          <cell r="N150">
            <v>23566</v>
          </cell>
          <cell r="O150">
            <v>627137</v>
          </cell>
          <cell r="P150">
            <v>0</v>
          </cell>
          <cell r="Q150" t="str">
            <v>N</v>
          </cell>
          <cell r="R150">
            <v>0</v>
          </cell>
          <cell r="S150">
            <v>0</v>
          </cell>
          <cell r="T150" t="str">
            <v>Driver - Lead</v>
          </cell>
          <cell r="U150" t="str">
            <v>SSC</v>
          </cell>
          <cell r="V150" t="str">
            <v>350S</v>
          </cell>
        </row>
        <row r="151">
          <cell r="B151">
            <v>40900</v>
          </cell>
          <cell r="C151" t="str">
            <v>5100014</v>
          </cell>
          <cell r="D151" t="str">
            <v>NORMAN, MICHAEL</v>
          </cell>
          <cell r="E151" t="str">
            <v>FTSTC3</v>
          </cell>
          <cell r="F151" t="str">
            <v>Driver - Fantastic 3</v>
          </cell>
          <cell r="G151" t="str">
            <v>3</v>
          </cell>
          <cell r="H151" t="str">
            <v>350S</v>
          </cell>
          <cell r="I151">
            <v>33681</v>
          </cell>
          <cell r="J151">
            <v>33807</v>
          </cell>
          <cell r="K151">
            <v>33681</v>
          </cell>
          <cell r="L151" t="str">
            <v>DSP</v>
          </cell>
          <cell r="M151">
            <v>42.23</v>
          </cell>
          <cell r="N151">
            <v>23159</v>
          </cell>
          <cell r="O151">
            <v>627137</v>
          </cell>
          <cell r="P151">
            <v>0</v>
          </cell>
          <cell r="Q151" t="str">
            <v>N</v>
          </cell>
          <cell r="R151">
            <v>0</v>
          </cell>
          <cell r="S151">
            <v>0</v>
          </cell>
          <cell r="T151" t="str">
            <v>Driver - Lead</v>
          </cell>
          <cell r="U151" t="str">
            <v>SSC</v>
          </cell>
          <cell r="V151" t="str">
            <v>350S</v>
          </cell>
        </row>
        <row r="152">
          <cell r="B152">
            <v>80670</v>
          </cell>
          <cell r="C152" t="str">
            <v>5100060</v>
          </cell>
          <cell r="D152" t="str">
            <v>MARTINEZ, FELIX</v>
          </cell>
          <cell r="E152" t="str">
            <v>DRDBOX</v>
          </cell>
          <cell r="F152" t="str">
            <v>Driver - Debris Box</v>
          </cell>
          <cell r="G152" t="str">
            <v>3</v>
          </cell>
          <cell r="H152" t="str">
            <v>350S</v>
          </cell>
          <cell r="I152">
            <v>32986</v>
          </cell>
          <cell r="J152">
            <v>33112</v>
          </cell>
          <cell r="K152">
            <v>33693</v>
          </cell>
          <cell r="L152" t="str">
            <v>COM</v>
          </cell>
          <cell r="M152">
            <v>42.23</v>
          </cell>
          <cell r="N152">
            <v>25872</v>
          </cell>
          <cell r="O152">
            <v>38404</v>
          </cell>
          <cell r="P152">
            <v>0</v>
          </cell>
          <cell r="Q152" t="str">
            <v>N</v>
          </cell>
          <cell r="R152">
            <v>0</v>
          </cell>
          <cell r="S152">
            <v>0</v>
          </cell>
          <cell r="T152" t="str">
            <v>Driver - Lead</v>
          </cell>
          <cell r="U152" t="str">
            <v>SSC</v>
          </cell>
          <cell r="V152" t="str">
            <v>350S</v>
          </cell>
        </row>
        <row r="153">
          <cell r="B153">
            <v>57710</v>
          </cell>
          <cell r="C153" t="str">
            <v>5100014</v>
          </cell>
          <cell r="D153" t="str">
            <v>CRUZ JR, RICHARD M</v>
          </cell>
          <cell r="E153" t="str">
            <v>FTSTC3</v>
          </cell>
          <cell r="F153" t="str">
            <v>Driver - Fantastic 3</v>
          </cell>
          <cell r="G153" t="str">
            <v>3</v>
          </cell>
          <cell r="H153" t="str">
            <v>350S</v>
          </cell>
          <cell r="I153">
            <v>33704</v>
          </cell>
          <cell r="J153">
            <v>33830</v>
          </cell>
          <cell r="K153">
            <v>33704</v>
          </cell>
          <cell r="L153" t="str">
            <v>DSP</v>
          </cell>
          <cell r="M153">
            <v>42.23</v>
          </cell>
          <cell r="N153">
            <v>22125</v>
          </cell>
          <cell r="O153">
            <v>627137</v>
          </cell>
          <cell r="P153">
            <v>0</v>
          </cell>
          <cell r="Q153" t="str">
            <v>N</v>
          </cell>
          <cell r="R153">
            <v>0</v>
          </cell>
          <cell r="S153">
            <v>0</v>
          </cell>
          <cell r="T153" t="str">
            <v>Driver - Lead</v>
          </cell>
          <cell r="U153" t="str">
            <v>SSC</v>
          </cell>
          <cell r="V153" t="str">
            <v>350S</v>
          </cell>
        </row>
        <row r="154">
          <cell r="B154">
            <v>82202</v>
          </cell>
          <cell r="C154" t="str">
            <v>5100060</v>
          </cell>
          <cell r="D154" t="str">
            <v>GONZALEZ, MARIANO</v>
          </cell>
          <cell r="E154" t="str">
            <v>DRDBOX</v>
          </cell>
          <cell r="F154" t="str">
            <v>Driver - Debris Box</v>
          </cell>
          <cell r="G154" t="str">
            <v>3</v>
          </cell>
          <cell r="H154" t="str">
            <v>350S</v>
          </cell>
          <cell r="I154">
            <v>33798</v>
          </cell>
          <cell r="J154">
            <v>33924</v>
          </cell>
          <cell r="K154">
            <v>33798</v>
          </cell>
          <cell r="L154" t="str">
            <v>COM</v>
          </cell>
          <cell r="M154">
            <v>42.23</v>
          </cell>
          <cell r="N154">
            <v>26424</v>
          </cell>
          <cell r="O154">
            <v>38404</v>
          </cell>
          <cell r="P154">
            <v>0</v>
          </cell>
          <cell r="Q154" t="str">
            <v>N</v>
          </cell>
          <cell r="R154">
            <v>0</v>
          </cell>
          <cell r="S154">
            <v>0</v>
          </cell>
          <cell r="T154" t="str">
            <v>Driver - Lead</v>
          </cell>
          <cell r="U154" t="str">
            <v>SSC</v>
          </cell>
          <cell r="V154" t="str">
            <v>350S</v>
          </cell>
        </row>
        <row r="155">
          <cell r="B155">
            <v>82659</v>
          </cell>
          <cell r="C155" t="str">
            <v>5100014</v>
          </cell>
          <cell r="D155" t="str">
            <v>PERUCHETTI JR, ROBERT</v>
          </cell>
          <cell r="E155" t="str">
            <v>FTSTC3</v>
          </cell>
          <cell r="F155" t="str">
            <v>Driver - Fantastic 3</v>
          </cell>
          <cell r="G155" t="str">
            <v>3</v>
          </cell>
          <cell r="H155" t="str">
            <v>350S</v>
          </cell>
          <cell r="I155">
            <v>32762</v>
          </cell>
          <cell r="J155">
            <v>32908</v>
          </cell>
          <cell r="K155">
            <v>33816</v>
          </cell>
          <cell r="L155" t="str">
            <v>DSP</v>
          </cell>
          <cell r="M155">
            <v>42.23</v>
          </cell>
          <cell r="N155">
            <v>23481</v>
          </cell>
          <cell r="O155">
            <v>39239</v>
          </cell>
          <cell r="P155">
            <v>0</v>
          </cell>
          <cell r="Q155" t="str">
            <v>N</v>
          </cell>
          <cell r="R155">
            <v>0</v>
          </cell>
          <cell r="S155">
            <v>0</v>
          </cell>
          <cell r="T155" t="str">
            <v>Driver - Lead</v>
          </cell>
          <cell r="U155" t="str">
            <v>SSC</v>
          </cell>
          <cell r="V155" t="str">
            <v>350S</v>
          </cell>
        </row>
        <row r="156">
          <cell r="B156">
            <v>83141</v>
          </cell>
          <cell r="C156" t="str">
            <v>5100014</v>
          </cell>
          <cell r="D156" t="str">
            <v>WONG, JUSTIN</v>
          </cell>
          <cell r="E156" t="str">
            <v>OPSMG</v>
          </cell>
          <cell r="F156" t="str">
            <v>Operations Manager</v>
          </cell>
          <cell r="G156" t="str">
            <v>2</v>
          </cell>
          <cell r="H156">
            <v>0</v>
          </cell>
          <cell r="I156">
            <v>33878</v>
          </cell>
          <cell r="J156">
            <v>33878</v>
          </cell>
          <cell r="K156">
            <v>33878</v>
          </cell>
          <cell r="L156" t="str">
            <v>MG2</v>
          </cell>
          <cell r="M156">
            <v>44.58</v>
          </cell>
          <cell r="N156">
            <v>25038</v>
          </cell>
          <cell r="O156">
            <v>627137</v>
          </cell>
          <cell r="P156" t="str">
            <v>23</v>
          </cell>
          <cell r="Q156" t="str">
            <v>Y</v>
          </cell>
          <cell r="R156">
            <v>0</v>
          </cell>
          <cell r="S156">
            <v>0</v>
          </cell>
          <cell r="T156" t="str">
            <v>NonU</v>
          </cell>
          <cell r="U156" t="str">
            <v>SSC</v>
          </cell>
          <cell r="V156" t="str">
            <v>NonU</v>
          </cell>
        </row>
        <row r="157">
          <cell r="B157">
            <v>83897</v>
          </cell>
          <cell r="C157" t="str">
            <v>5100014</v>
          </cell>
          <cell r="D157" t="str">
            <v>GONZALEZ, RAMON</v>
          </cell>
          <cell r="E157" t="str">
            <v>FTSTC3</v>
          </cell>
          <cell r="F157" t="str">
            <v>Driver - Fantastic 3</v>
          </cell>
          <cell r="G157" t="str">
            <v>3</v>
          </cell>
          <cell r="H157" t="str">
            <v>350S</v>
          </cell>
          <cell r="I157">
            <v>33912</v>
          </cell>
          <cell r="J157">
            <v>34039</v>
          </cell>
          <cell r="K157">
            <v>33912</v>
          </cell>
          <cell r="L157" t="str">
            <v>DSP</v>
          </cell>
          <cell r="M157">
            <v>42.23</v>
          </cell>
          <cell r="N157">
            <v>26357</v>
          </cell>
          <cell r="O157">
            <v>38906</v>
          </cell>
          <cell r="P157">
            <v>0</v>
          </cell>
          <cell r="Q157" t="str">
            <v>N</v>
          </cell>
          <cell r="R157">
            <v>0</v>
          </cell>
          <cell r="S157">
            <v>0</v>
          </cell>
          <cell r="T157" t="str">
            <v>Driver - Lead</v>
          </cell>
          <cell r="U157" t="str">
            <v>SSC</v>
          </cell>
          <cell r="V157" t="str">
            <v>350S</v>
          </cell>
        </row>
        <row r="158">
          <cell r="B158">
            <v>84831</v>
          </cell>
          <cell r="C158" t="str">
            <v>5100060</v>
          </cell>
          <cell r="D158" t="str">
            <v>LARA JR, MIGUEL A.</v>
          </cell>
          <cell r="E158" t="str">
            <v>DRDBOX</v>
          </cell>
          <cell r="F158" t="str">
            <v>Driver - Debris Box</v>
          </cell>
          <cell r="G158" t="str">
            <v>3</v>
          </cell>
          <cell r="H158" t="str">
            <v>350S</v>
          </cell>
          <cell r="I158">
            <v>34001</v>
          </cell>
          <cell r="J158">
            <v>34127</v>
          </cell>
          <cell r="K158">
            <v>34001</v>
          </cell>
          <cell r="L158" t="str">
            <v>COM</v>
          </cell>
          <cell r="M158">
            <v>42.23</v>
          </cell>
          <cell r="N158">
            <v>25396</v>
          </cell>
          <cell r="O158">
            <v>38404</v>
          </cell>
          <cell r="P158">
            <v>0</v>
          </cell>
          <cell r="Q158" t="str">
            <v>N</v>
          </cell>
          <cell r="R158">
            <v>0</v>
          </cell>
          <cell r="S158">
            <v>0</v>
          </cell>
          <cell r="T158" t="str">
            <v>Driver - Lead</v>
          </cell>
          <cell r="U158" t="str">
            <v>SSC</v>
          </cell>
          <cell r="V158" t="str">
            <v>350S</v>
          </cell>
        </row>
        <row r="159">
          <cell r="B159">
            <v>84929</v>
          </cell>
          <cell r="C159" t="str">
            <v>5100041</v>
          </cell>
          <cell r="D159" t="str">
            <v>ROMERO, JORGE</v>
          </cell>
          <cell r="E159" t="str">
            <v>DRFTLR</v>
          </cell>
          <cell r="F159" t="str">
            <v>Driver - Frontloader</v>
          </cell>
          <cell r="G159" t="str">
            <v>3</v>
          </cell>
          <cell r="H159" t="str">
            <v>350S</v>
          </cell>
          <cell r="I159">
            <v>34016</v>
          </cell>
          <cell r="J159">
            <v>34142</v>
          </cell>
          <cell r="K159">
            <v>34016</v>
          </cell>
          <cell r="L159" t="str">
            <v>DSP</v>
          </cell>
          <cell r="M159">
            <v>42.23</v>
          </cell>
          <cell r="N159">
            <v>24382</v>
          </cell>
          <cell r="O159">
            <v>627137</v>
          </cell>
          <cell r="P159">
            <v>0</v>
          </cell>
          <cell r="Q159" t="str">
            <v>N</v>
          </cell>
          <cell r="R159">
            <v>0</v>
          </cell>
          <cell r="S159">
            <v>0</v>
          </cell>
          <cell r="T159" t="str">
            <v>Driver - Lead</v>
          </cell>
          <cell r="U159" t="str">
            <v>SSC</v>
          </cell>
          <cell r="V159" t="str">
            <v>350S</v>
          </cell>
        </row>
        <row r="160">
          <cell r="B160">
            <v>85315</v>
          </cell>
          <cell r="C160" t="str">
            <v>5100060</v>
          </cell>
          <cell r="D160" t="str">
            <v>ALVAREZ JR, ARTURO</v>
          </cell>
          <cell r="E160" t="str">
            <v>DRDBOX</v>
          </cell>
          <cell r="F160" t="str">
            <v>Driver - Debris Box</v>
          </cell>
          <cell r="G160" t="str">
            <v>3</v>
          </cell>
          <cell r="H160" t="str">
            <v>350S</v>
          </cell>
          <cell r="I160">
            <v>34050</v>
          </cell>
          <cell r="J160">
            <v>34176</v>
          </cell>
          <cell r="K160">
            <v>34050</v>
          </cell>
          <cell r="L160" t="str">
            <v>COM</v>
          </cell>
          <cell r="M160">
            <v>42.23</v>
          </cell>
          <cell r="N160">
            <v>26973</v>
          </cell>
          <cell r="O160">
            <v>38607</v>
          </cell>
          <cell r="P160">
            <v>0</v>
          </cell>
          <cell r="Q160" t="str">
            <v>N</v>
          </cell>
          <cell r="R160">
            <v>0</v>
          </cell>
          <cell r="S160">
            <v>0</v>
          </cell>
          <cell r="T160" t="str">
            <v>Driver - Lead</v>
          </cell>
          <cell r="U160" t="str">
            <v>SSC</v>
          </cell>
          <cell r="V160" t="str">
            <v>350S</v>
          </cell>
        </row>
        <row r="161">
          <cell r="B161">
            <v>85788</v>
          </cell>
          <cell r="C161" t="str">
            <v>5100041</v>
          </cell>
          <cell r="D161" t="str">
            <v>ARAUJO, DAVID</v>
          </cell>
          <cell r="E161" t="str">
            <v>DRFTLR</v>
          </cell>
          <cell r="F161" t="str">
            <v>Driver - Frontloader</v>
          </cell>
          <cell r="G161" t="str">
            <v>3</v>
          </cell>
          <cell r="H161" t="str">
            <v>350S</v>
          </cell>
          <cell r="I161">
            <v>34092</v>
          </cell>
          <cell r="J161">
            <v>34218</v>
          </cell>
          <cell r="K161">
            <v>34092</v>
          </cell>
          <cell r="L161" t="str">
            <v>DSP</v>
          </cell>
          <cell r="M161">
            <v>42.23</v>
          </cell>
          <cell r="N161">
            <v>23562</v>
          </cell>
          <cell r="O161">
            <v>627137</v>
          </cell>
          <cell r="P161">
            <v>0</v>
          </cell>
          <cell r="Q161" t="str">
            <v>N</v>
          </cell>
          <cell r="R161">
            <v>0</v>
          </cell>
          <cell r="S161">
            <v>0</v>
          </cell>
          <cell r="T161" t="str">
            <v>Driver - Lead</v>
          </cell>
          <cell r="U161" t="str">
            <v>SSC</v>
          </cell>
          <cell r="V161" t="str">
            <v>350S</v>
          </cell>
        </row>
        <row r="162">
          <cell r="B162">
            <v>86094</v>
          </cell>
          <cell r="C162" t="str">
            <v>5100014</v>
          </cell>
          <cell r="D162" t="str">
            <v>MARTIN, UBALDO</v>
          </cell>
          <cell r="E162" t="str">
            <v>FTSTC3</v>
          </cell>
          <cell r="F162" t="str">
            <v>Driver - Fantastic 3</v>
          </cell>
          <cell r="G162" t="str">
            <v>3</v>
          </cell>
          <cell r="H162" t="str">
            <v>350S</v>
          </cell>
          <cell r="I162">
            <v>34101</v>
          </cell>
          <cell r="J162">
            <v>34227</v>
          </cell>
          <cell r="K162">
            <v>34101</v>
          </cell>
          <cell r="L162" t="str">
            <v>DSP</v>
          </cell>
          <cell r="M162">
            <v>42.23</v>
          </cell>
          <cell r="N162">
            <v>25968</v>
          </cell>
          <cell r="O162">
            <v>627137</v>
          </cell>
          <cell r="P162">
            <v>0</v>
          </cell>
          <cell r="Q162" t="str">
            <v>N</v>
          </cell>
          <cell r="R162">
            <v>0</v>
          </cell>
          <cell r="S162">
            <v>0</v>
          </cell>
          <cell r="T162" t="str">
            <v>Driver - Lead</v>
          </cell>
          <cell r="U162" t="str">
            <v>SSC</v>
          </cell>
          <cell r="V162" t="str">
            <v>350S</v>
          </cell>
        </row>
        <row r="163">
          <cell r="B163">
            <v>83889</v>
          </cell>
          <cell r="C163" t="str">
            <v>5100014</v>
          </cell>
          <cell r="D163" t="str">
            <v>ALVAREZ, XAVIER</v>
          </cell>
          <cell r="E163" t="str">
            <v>FTSTC3</v>
          </cell>
          <cell r="F163" t="str">
            <v>Driver - Fantastic 3</v>
          </cell>
          <cell r="G163" t="str">
            <v>3</v>
          </cell>
          <cell r="H163" t="str">
            <v>350S</v>
          </cell>
          <cell r="I163">
            <v>34141</v>
          </cell>
          <cell r="J163">
            <v>34267</v>
          </cell>
          <cell r="K163">
            <v>34141</v>
          </cell>
          <cell r="L163" t="str">
            <v>DSP</v>
          </cell>
          <cell r="M163">
            <v>42.23</v>
          </cell>
          <cell r="N163">
            <v>24883</v>
          </cell>
          <cell r="O163">
            <v>38404</v>
          </cell>
          <cell r="P163">
            <v>0</v>
          </cell>
          <cell r="Q163" t="str">
            <v>N</v>
          </cell>
          <cell r="R163">
            <v>0</v>
          </cell>
          <cell r="S163">
            <v>0</v>
          </cell>
          <cell r="T163" t="str">
            <v>Driver - Lead</v>
          </cell>
          <cell r="U163" t="str">
            <v>SSC</v>
          </cell>
          <cell r="V163" t="str">
            <v>350S</v>
          </cell>
        </row>
        <row r="164">
          <cell r="B164">
            <v>86553</v>
          </cell>
          <cell r="C164" t="str">
            <v>5100014</v>
          </cell>
          <cell r="D164" t="str">
            <v>PADILLA, RICARDO</v>
          </cell>
          <cell r="E164" t="str">
            <v>FTSTC3</v>
          </cell>
          <cell r="F164" t="str">
            <v>Driver - Fantastic 3</v>
          </cell>
          <cell r="G164" t="str">
            <v>3</v>
          </cell>
          <cell r="H164" t="str">
            <v>350S</v>
          </cell>
          <cell r="I164">
            <v>34144</v>
          </cell>
          <cell r="J164">
            <v>34270</v>
          </cell>
          <cell r="K164">
            <v>34144</v>
          </cell>
          <cell r="L164" t="str">
            <v>DSP</v>
          </cell>
          <cell r="M164">
            <v>42.23</v>
          </cell>
          <cell r="N164">
            <v>25582</v>
          </cell>
          <cell r="O164">
            <v>752464</v>
          </cell>
          <cell r="P164">
            <v>0</v>
          </cell>
          <cell r="Q164" t="str">
            <v>N</v>
          </cell>
          <cell r="R164">
            <v>0</v>
          </cell>
          <cell r="S164">
            <v>0</v>
          </cell>
          <cell r="T164" t="str">
            <v>Driver - Lead</v>
          </cell>
          <cell r="U164" t="str">
            <v>SSC</v>
          </cell>
          <cell r="V164" t="str">
            <v>350S</v>
          </cell>
        </row>
        <row r="165">
          <cell r="B165">
            <v>86684</v>
          </cell>
          <cell r="C165" t="str">
            <v>5100510</v>
          </cell>
          <cell r="D165" t="str">
            <v>GOMEZ, JOSE J.</v>
          </cell>
          <cell r="E165" t="str">
            <v>HELPER</v>
          </cell>
          <cell r="F165" t="str">
            <v>Helper</v>
          </cell>
          <cell r="G165" t="str">
            <v>3</v>
          </cell>
          <cell r="H165" t="str">
            <v>350S</v>
          </cell>
          <cell r="I165">
            <v>34148</v>
          </cell>
          <cell r="J165">
            <v>34274</v>
          </cell>
          <cell r="K165">
            <v>34148</v>
          </cell>
          <cell r="L165" t="str">
            <v>SHP</v>
          </cell>
          <cell r="M165">
            <v>40.18</v>
          </cell>
          <cell r="N165">
            <v>25091</v>
          </cell>
          <cell r="O165">
            <v>58755</v>
          </cell>
          <cell r="P165">
            <v>0</v>
          </cell>
          <cell r="Q165" t="str">
            <v>N</v>
          </cell>
          <cell r="R165">
            <v>0</v>
          </cell>
          <cell r="S165">
            <v>0</v>
          </cell>
          <cell r="T165" t="str">
            <v>Helper</v>
          </cell>
          <cell r="U165" t="str">
            <v>SSC</v>
          </cell>
          <cell r="V165" t="str">
            <v>350S</v>
          </cell>
        </row>
        <row r="166">
          <cell r="B166">
            <v>86836</v>
          </cell>
          <cell r="C166" t="str">
            <v>5100015</v>
          </cell>
          <cell r="D166" t="str">
            <v>MARTIN, ISMAEL</v>
          </cell>
          <cell r="E166" t="str">
            <v>DRIVER</v>
          </cell>
          <cell r="F166" t="str">
            <v>Driver</v>
          </cell>
          <cell r="G166" t="str">
            <v>3</v>
          </cell>
          <cell r="H166" t="str">
            <v>350S</v>
          </cell>
          <cell r="I166">
            <v>34163</v>
          </cell>
          <cell r="J166">
            <v>34289</v>
          </cell>
          <cell r="K166">
            <v>34163</v>
          </cell>
          <cell r="L166" t="str">
            <v>DSP</v>
          </cell>
          <cell r="M166">
            <v>42.23</v>
          </cell>
          <cell r="N166">
            <v>19783</v>
          </cell>
          <cell r="O166">
            <v>38228</v>
          </cell>
          <cell r="P166">
            <v>0</v>
          </cell>
          <cell r="Q166" t="str">
            <v>N</v>
          </cell>
          <cell r="R166">
            <v>0</v>
          </cell>
          <cell r="S166">
            <v>0</v>
          </cell>
          <cell r="T166" t="str">
            <v>Driver - Reg.</v>
          </cell>
          <cell r="U166" t="str">
            <v>SSC</v>
          </cell>
          <cell r="V166" t="str">
            <v>350S</v>
          </cell>
        </row>
        <row r="167">
          <cell r="B167">
            <v>39925</v>
          </cell>
          <cell r="C167" t="str">
            <v>5100014</v>
          </cell>
          <cell r="D167" t="str">
            <v>BORZONI II, JOHN</v>
          </cell>
          <cell r="E167" t="str">
            <v>FTSTC3</v>
          </cell>
          <cell r="F167" t="str">
            <v>Driver - Fantastic 3</v>
          </cell>
          <cell r="G167" t="str">
            <v>3</v>
          </cell>
          <cell r="H167" t="str">
            <v>350S</v>
          </cell>
          <cell r="I167">
            <v>29780</v>
          </cell>
          <cell r="J167">
            <v>29780</v>
          </cell>
          <cell r="K167">
            <v>34381</v>
          </cell>
          <cell r="L167" t="str">
            <v>DSP</v>
          </cell>
          <cell r="M167">
            <v>42.23</v>
          </cell>
          <cell r="N167">
            <v>23155</v>
          </cell>
          <cell r="O167">
            <v>4466094</v>
          </cell>
          <cell r="P167">
            <v>0</v>
          </cell>
          <cell r="Q167" t="str">
            <v>N</v>
          </cell>
          <cell r="R167">
            <v>0</v>
          </cell>
          <cell r="S167">
            <v>0</v>
          </cell>
          <cell r="T167" t="str">
            <v>Driver - Lead</v>
          </cell>
          <cell r="U167" t="str">
            <v>SSC</v>
          </cell>
          <cell r="V167" t="str">
            <v>350S</v>
          </cell>
        </row>
        <row r="168">
          <cell r="B168">
            <v>88719</v>
          </cell>
          <cell r="C168" t="str">
            <v>5100015</v>
          </cell>
          <cell r="D168" t="str">
            <v>MASIS, LUIS A.</v>
          </cell>
          <cell r="E168" t="str">
            <v>DRIVER</v>
          </cell>
          <cell r="F168" t="str">
            <v>Driver</v>
          </cell>
          <cell r="G168" t="str">
            <v>3</v>
          </cell>
          <cell r="H168" t="str">
            <v>350S</v>
          </cell>
          <cell r="I168">
            <v>34268</v>
          </cell>
          <cell r="J168">
            <v>34394</v>
          </cell>
          <cell r="K168">
            <v>34402</v>
          </cell>
          <cell r="L168" t="str">
            <v>DSP</v>
          </cell>
          <cell r="M168">
            <v>42.23</v>
          </cell>
          <cell r="N168">
            <v>23625</v>
          </cell>
          <cell r="O168">
            <v>627137</v>
          </cell>
          <cell r="P168">
            <v>0</v>
          </cell>
          <cell r="Q168" t="str">
            <v>N</v>
          </cell>
          <cell r="R168">
            <v>0</v>
          </cell>
          <cell r="S168">
            <v>0</v>
          </cell>
          <cell r="T168" t="str">
            <v>Driver - Reg.</v>
          </cell>
          <cell r="U168" t="str">
            <v>SSC</v>
          </cell>
          <cell r="V168" t="str">
            <v>350S</v>
          </cell>
        </row>
        <row r="169">
          <cell r="B169">
            <v>89252</v>
          </cell>
          <cell r="C169" t="str">
            <v>5100122</v>
          </cell>
          <cell r="D169" t="str">
            <v>GOMEZ, CESAR</v>
          </cell>
          <cell r="E169" t="str">
            <v>DRFTLR</v>
          </cell>
          <cell r="F169" t="str">
            <v>Driver - Frontloader</v>
          </cell>
          <cell r="G169" t="str">
            <v>3</v>
          </cell>
          <cell r="H169" t="str">
            <v>350S</v>
          </cell>
          <cell r="I169">
            <v>34459</v>
          </cell>
          <cell r="J169">
            <v>34585</v>
          </cell>
          <cell r="K169">
            <v>34459</v>
          </cell>
          <cell r="L169" t="str">
            <v>DSP</v>
          </cell>
          <cell r="M169">
            <v>42.23</v>
          </cell>
          <cell r="N169">
            <v>27083</v>
          </cell>
          <cell r="O169">
            <v>627137</v>
          </cell>
          <cell r="P169">
            <v>0</v>
          </cell>
          <cell r="Q169" t="str">
            <v>N</v>
          </cell>
          <cell r="R169">
            <v>0</v>
          </cell>
          <cell r="S169">
            <v>0</v>
          </cell>
          <cell r="T169" t="str">
            <v>Driver - Lead</v>
          </cell>
          <cell r="U169" t="str">
            <v>SSC</v>
          </cell>
          <cell r="V169" t="str">
            <v>350S</v>
          </cell>
        </row>
        <row r="170">
          <cell r="B170">
            <v>89261</v>
          </cell>
          <cell r="C170" t="str">
            <v>5100060</v>
          </cell>
          <cell r="D170" t="str">
            <v>GORDON, JEREMY L.</v>
          </cell>
          <cell r="E170" t="str">
            <v>DRDBOX</v>
          </cell>
          <cell r="F170" t="str">
            <v>Driver - Debris Box</v>
          </cell>
          <cell r="G170" t="str">
            <v>3</v>
          </cell>
          <cell r="H170" t="str">
            <v>350S</v>
          </cell>
          <cell r="I170">
            <v>34463</v>
          </cell>
          <cell r="J170">
            <v>34589</v>
          </cell>
          <cell r="K170">
            <v>34463</v>
          </cell>
          <cell r="L170" t="str">
            <v>COM</v>
          </cell>
          <cell r="M170">
            <v>42.23</v>
          </cell>
          <cell r="N170">
            <v>27733</v>
          </cell>
          <cell r="O170">
            <v>38607</v>
          </cell>
          <cell r="P170">
            <v>0</v>
          </cell>
          <cell r="Q170" t="str">
            <v>N</v>
          </cell>
          <cell r="R170">
            <v>0</v>
          </cell>
          <cell r="S170">
            <v>0</v>
          </cell>
          <cell r="T170" t="str">
            <v>Driver - Lead</v>
          </cell>
          <cell r="U170" t="str">
            <v>SSC</v>
          </cell>
          <cell r="V170" t="str">
            <v>350S</v>
          </cell>
        </row>
        <row r="171">
          <cell r="B171">
            <v>42315</v>
          </cell>
          <cell r="C171" t="str">
            <v>5100041</v>
          </cell>
          <cell r="D171" t="str">
            <v>HUMPHREY, SHAWN W</v>
          </cell>
          <cell r="E171" t="str">
            <v>DRFTLR</v>
          </cell>
          <cell r="F171" t="str">
            <v>Driver - Frontloader</v>
          </cell>
          <cell r="G171" t="str">
            <v>3</v>
          </cell>
          <cell r="H171" t="str">
            <v>350S</v>
          </cell>
          <cell r="I171">
            <v>32020</v>
          </cell>
          <cell r="J171">
            <v>34596</v>
          </cell>
          <cell r="K171">
            <v>34470</v>
          </cell>
          <cell r="L171" t="str">
            <v>DSP</v>
          </cell>
          <cell r="M171">
            <v>42.23</v>
          </cell>
          <cell r="N171">
            <v>23579</v>
          </cell>
          <cell r="O171">
            <v>350705</v>
          </cell>
          <cell r="P171">
            <v>0</v>
          </cell>
          <cell r="Q171" t="str">
            <v>N</v>
          </cell>
          <cell r="R171">
            <v>0</v>
          </cell>
          <cell r="S171">
            <v>0</v>
          </cell>
          <cell r="T171" t="str">
            <v>Driver - Lead</v>
          </cell>
          <cell r="U171" t="str">
            <v>SSC</v>
          </cell>
          <cell r="V171" t="str">
            <v>350S</v>
          </cell>
        </row>
        <row r="172">
          <cell r="B172">
            <v>89295</v>
          </cell>
          <cell r="C172" t="str">
            <v>5100041</v>
          </cell>
          <cell r="D172" t="str">
            <v>OROPEZA, CLEMENTE</v>
          </cell>
          <cell r="E172" t="str">
            <v>DRFTLR</v>
          </cell>
          <cell r="F172" t="str">
            <v>Driver - Frontloader</v>
          </cell>
          <cell r="G172" t="str">
            <v>3</v>
          </cell>
          <cell r="H172" t="str">
            <v>350S</v>
          </cell>
          <cell r="I172">
            <v>34470</v>
          </cell>
          <cell r="J172">
            <v>34596</v>
          </cell>
          <cell r="K172">
            <v>34470</v>
          </cell>
          <cell r="L172" t="str">
            <v>DSP</v>
          </cell>
          <cell r="M172">
            <v>42.23</v>
          </cell>
          <cell r="N172">
            <v>22728</v>
          </cell>
          <cell r="O172">
            <v>41380</v>
          </cell>
          <cell r="P172">
            <v>0</v>
          </cell>
          <cell r="Q172" t="str">
            <v>N</v>
          </cell>
          <cell r="R172">
            <v>0</v>
          </cell>
          <cell r="S172">
            <v>0</v>
          </cell>
          <cell r="T172" t="str">
            <v>Driver - Lead</v>
          </cell>
          <cell r="U172" t="str">
            <v>SSC</v>
          </cell>
          <cell r="V172" t="str">
            <v>350S</v>
          </cell>
        </row>
        <row r="173">
          <cell r="B173">
            <v>89869</v>
          </cell>
          <cell r="C173" t="str">
            <v>5100014</v>
          </cell>
          <cell r="D173" t="str">
            <v>BARBA JR, GILBERTO</v>
          </cell>
          <cell r="E173" t="str">
            <v>FTSTC3</v>
          </cell>
          <cell r="F173" t="str">
            <v>Driver - Fantastic 3</v>
          </cell>
          <cell r="G173" t="str">
            <v>3</v>
          </cell>
          <cell r="H173" t="str">
            <v>350S</v>
          </cell>
          <cell r="I173">
            <v>34535</v>
          </cell>
          <cell r="J173">
            <v>34661</v>
          </cell>
          <cell r="K173">
            <v>34535</v>
          </cell>
          <cell r="L173" t="str">
            <v>DSP</v>
          </cell>
          <cell r="M173">
            <v>42.23</v>
          </cell>
          <cell r="N173">
            <v>26985</v>
          </cell>
          <cell r="O173">
            <v>39239</v>
          </cell>
          <cell r="P173">
            <v>0</v>
          </cell>
          <cell r="Q173" t="str">
            <v>N</v>
          </cell>
          <cell r="R173">
            <v>0</v>
          </cell>
          <cell r="S173">
            <v>0</v>
          </cell>
          <cell r="T173" t="str">
            <v>Driver - Lead</v>
          </cell>
          <cell r="U173" t="str">
            <v>SSC</v>
          </cell>
          <cell r="V173" t="str">
            <v>350S</v>
          </cell>
        </row>
        <row r="174">
          <cell r="B174">
            <v>89789</v>
          </cell>
          <cell r="C174" t="str">
            <v>5100014</v>
          </cell>
          <cell r="D174" t="str">
            <v>GOMEZ, JOSE R.</v>
          </cell>
          <cell r="E174" t="str">
            <v>FTSTC3</v>
          </cell>
          <cell r="F174" t="str">
            <v>Driver - Fantastic 3</v>
          </cell>
          <cell r="G174" t="str">
            <v>3</v>
          </cell>
          <cell r="H174" t="str">
            <v>350S</v>
          </cell>
          <cell r="I174">
            <v>34540</v>
          </cell>
          <cell r="J174">
            <v>34666</v>
          </cell>
          <cell r="K174">
            <v>34540</v>
          </cell>
          <cell r="L174" t="str">
            <v>DSP</v>
          </cell>
          <cell r="M174">
            <v>42.23</v>
          </cell>
          <cell r="N174">
            <v>24777</v>
          </cell>
          <cell r="O174">
            <v>627137</v>
          </cell>
          <cell r="P174">
            <v>0</v>
          </cell>
          <cell r="Q174" t="str">
            <v>N</v>
          </cell>
          <cell r="R174">
            <v>0</v>
          </cell>
          <cell r="S174">
            <v>0</v>
          </cell>
          <cell r="T174" t="str">
            <v>Driver - Lead</v>
          </cell>
          <cell r="U174" t="str">
            <v>SSC</v>
          </cell>
          <cell r="V174" t="str">
            <v>350S</v>
          </cell>
        </row>
        <row r="175">
          <cell r="B175">
            <v>42008</v>
          </cell>
          <cell r="C175" t="str">
            <v>5100510</v>
          </cell>
          <cell r="D175" t="str">
            <v>OCEGUERA, ALEJANDRO</v>
          </cell>
          <cell r="E175" t="str">
            <v>AFORE1</v>
          </cell>
          <cell r="F175" t="str">
            <v>Asst Foreperson - Shop (ASE 1)</v>
          </cell>
          <cell r="G175" t="str">
            <v>3</v>
          </cell>
          <cell r="H175" t="str">
            <v>350S</v>
          </cell>
          <cell r="I175">
            <v>30775</v>
          </cell>
          <cell r="J175">
            <v>30901</v>
          </cell>
          <cell r="K175">
            <v>34740</v>
          </cell>
          <cell r="L175" t="str">
            <v>SHP</v>
          </cell>
          <cell r="M175">
            <v>46.115000000000002</v>
          </cell>
          <cell r="N175">
            <v>22070</v>
          </cell>
          <cell r="O175">
            <v>58755</v>
          </cell>
          <cell r="P175">
            <v>0</v>
          </cell>
          <cell r="Q175" t="str">
            <v>N</v>
          </cell>
          <cell r="R175">
            <v>0</v>
          </cell>
          <cell r="S175">
            <v>0</v>
          </cell>
          <cell r="T175" t="str">
            <v>350S</v>
          </cell>
          <cell r="U175" t="str">
            <v>SSC</v>
          </cell>
          <cell r="V175" t="str">
            <v>350S</v>
          </cell>
        </row>
        <row r="176">
          <cell r="B176">
            <v>92451</v>
          </cell>
          <cell r="C176" t="str">
            <v>5100510</v>
          </cell>
          <cell r="D176" t="str">
            <v>PICAZO, OSCAR</v>
          </cell>
          <cell r="E176" t="str">
            <v>FTSTC3</v>
          </cell>
          <cell r="F176" t="str">
            <v>Driver - Fantastic 3</v>
          </cell>
          <cell r="G176" t="str">
            <v>3</v>
          </cell>
          <cell r="H176" t="str">
            <v>350S</v>
          </cell>
          <cell r="I176">
            <v>34785</v>
          </cell>
          <cell r="J176">
            <v>34911</v>
          </cell>
          <cell r="K176">
            <v>34785</v>
          </cell>
          <cell r="L176" t="str">
            <v>CRT</v>
          </cell>
          <cell r="M176">
            <v>42.23</v>
          </cell>
          <cell r="N176">
            <v>27285</v>
          </cell>
          <cell r="O176">
            <v>58755</v>
          </cell>
          <cell r="P176">
            <v>0</v>
          </cell>
          <cell r="Q176" t="str">
            <v>N</v>
          </cell>
          <cell r="R176">
            <v>0</v>
          </cell>
          <cell r="S176">
            <v>0</v>
          </cell>
          <cell r="T176" t="str">
            <v>Driver - Lead</v>
          </cell>
          <cell r="U176" t="str">
            <v>SSC</v>
          </cell>
          <cell r="V176" t="str">
            <v>350S</v>
          </cell>
        </row>
        <row r="177">
          <cell r="B177">
            <v>92478</v>
          </cell>
          <cell r="C177" t="str">
            <v>5100014</v>
          </cell>
          <cell r="D177" t="str">
            <v>TALTON, MICHAEL E.</v>
          </cell>
          <cell r="E177" t="str">
            <v>FTSTC3</v>
          </cell>
          <cell r="F177" t="str">
            <v>Driver - Fantastic 3</v>
          </cell>
          <cell r="G177" t="str">
            <v>3</v>
          </cell>
          <cell r="H177" t="str">
            <v>350S</v>
          </cell>
          <cell r="I177">
            <v>34787</v>
          </cell>
          <cell r="J177">
            <v>34913</v>
          </cell>
          <cell r="K177">
            <v>34787</v>
          </cell>
          <cell r="L177" t="str">
            <v>DSP</v>
          </cell>
          <cell r="M177">
            <v>42.23</v>
          </cell>
          <cell r="N177">
            <v>22440</v>
          </cell>
          <cell r="O177">
            <v>39239</v>
          </cell>
          <cell r="P177">
            <v>0</v>
          </cell>
          <cell r="Q177" t="str">
            <v>N</v>
          </cell>
          <cell r="R177">
            <v>0</v>
          </cell>
          <cell r="S177">
            <v>0</v>
          </cell>
          <cell r="T177" t="str">
            <v>Driver - Lead</v>
          </cell>
          <cell r="U177" t="str">
            <v>SSC</v>
          </cell>
          <cell r="V177" t="str">
            <v>350S</v>
          </cell>
        </row>
        <row r="178">
          <cell r="B178">
            <v>92531</v>
          </cell>
          <cell r="C178" t="str">
            <v>5100510</v>
          </cell>
          <cell r="D178" t="str">
            <v>VEGA, CARLOS L.</v>
          </cell>
          <cell r="E178" t="str">
            <v>FTSTC3</v>
          </cell>
          <cell r="F178" t="str">
            <v>Driver - Fantastic 3</v>
          </cell>
          <cell r="G178" t="str">
            <v>3</v>
          </cell>
          <cell r="H178" t="str">
            <v>350S</v>
          </cell>
          <cell r="I178">
            <v>34789</v>
          </cell>
          <cell r="J178">
            <v>34915</v>
          </cell>
          <cell r="K178">
            <v>34789</v>
          </cell>
          <cell r="L178" t="str">
            <v>CRT</v>
          </cell>
          <cell r="M178">
            <v>42.23</v>
          </cell>
          <cell r="N178">
            <v>20105</v>
          </cell>
          <cell r="O178">
            <v>58755</v>
          </cell>
          <cell r="P178">
            <v>0</v>
          </cell>
          <cell r="Q178" t="str">
            <v>N</v>
          </cell>
          <cell r="R178">
            <v>0</v>
          </cell>
          <cell r="S178">
            <v>0</v>
          </cell>
          <cell r="T178" t="str">
            <v>Driver - Lead</v>
          </cell>
          <cell r="U178" t="str">
            <v>SSC</v>
          </cell>
          <cell r="V178" t="str">
            <v>350S</v>
          </cell>
        </row>
        <row r="179">
          <cell r="B179">
            <v>92662</v>
          </cell>
          <cell r="C179" t="str">
            <v>5100014</v>
          </cell>
          <cell r="D179" t="str">
            <v>VAELEI, TISIMASI K.</v>
          </cell>
          <cell r="E179" t="str">
            <v>FTSTC3</v>
          </cell>
          <cell r="F179" t="str">
            <v>Driver - Fantastic 3</v>
          </cell>
          <cell r="G179" t="str">
            <v>3</v>
          </cell>
          <cell r="H179" t="str">
            <v>350S</v>
          </cell>
          <cell r="I179">
            <v>34800</v>
          </cell>
          <cell r="J179">
            <v>34926</v>
          </cell>
          <cell r="K179">
            <v>34800</v>
          </cell>
          <cell r="L179" t="str">
            <v>DSP</v>
          </cell>
          <cell r="M179">
            <v>42.23</v>
          </cell>
          <cell r="N179">
            <v>23866</v>
          </cell>
          <cell r="O179">
            <v>752464</v>
          </cell>
          <cell r="P179">
            <v>0</v>
          </cell>
          <cell r="Q179" t="str">
            <v>N</v>
          </cell>
          <cell r="R179">
            <v>0</v>
          </cell>
          <cell r="S179">
            <v>0</v>
          </cell>
          <cell r="T179" t="str">
            <v>Driver - Lead</v>
          </cell>
          <cell r="U179" t="str">
            <v>SSC</v>
          </cell>
          <cell r="V179" t="str">
            <v>350S</v>
          </cell>
        </row>
        <row r="180">
          <cell r="B180">
            <v>92742</v>
          </cell>
          <cell r="C180" t="str">
            <v>5100014</v>
          </cell>
          <cell r="D180" t="str">
            <v>SCURRY, LARRY N.</v>
          </cell>
          <cell r="E180" t="str">
            <v>FTSTC3</v>
          </cell>
          <cell r="F180" t="str">
            <v>Driver - Fantastic 3</v>
          </cell>
          <cell r="G180" t="str">
            <v>3</v>
          </cell>
          <cell r="H180" t="str">
            <v>350S</v>
          </cell>
          <cell r="I180">
            <v>34806</v>
          </cell>
          <cell r="J180">
            <v>34932</v>
          </cell>
          <cell r="K180">
            <v>34806</v>
          </cell>
          <cell r="L180" t="str">
            <v>DSP</v>
          </cell>
          <cell r="M180">
            <v>42.23</v>
          </cell>
          <cell r="N180">
            <v>19329</v>
          </cell>
          <cell r="O180">
            <v>39239</v>
          </cell>
          <cell r="P180">
            <v>0</v>
          </cell>
          <cell r="Q180" t="str">
            <v>N</v>
          </cell>
          <cell r="R180">
            <v>0</v>
          </cell>
          <cell r="S180">
            <v>0</v>
          </cell>
          <cell r="T180" t="str">
            <v>Driver - Lead</v>
          </cell>
          <cell r="U180" t="str">
            <v>SSC</v>
          </cell>
          <cell r="V180" t="str">
            <v>350S</v>
          </cell>
        </row>
        <row r="181">
          <cell r="B181">
            <v>92831</v>
          </cell>
          <cell r="C181" t="str">
            <v>5100060</v>
          </cell>
          <cell r="D181" t="str">
            <v>OROPEZA, MIGUEL A.</v>
          </cell>
          <cell r="E181" t="str">
            <v>DRDBOX</v>
          </cell>
          <cell r="F181" t="str">
            <v>Driver - Debris Box</v>
          </cell>
          <cell r="G181" t="str">
            <v>3</v>
          </cell>
          <cell r="H181" t="str">
            <v>350S</v>
          </cell>
          <cell r="I181">
            <v>34824</v>
          </cell>
          <cell r="J181">
            <v>34950</v>
          </cell>
          <cell r="K181">
            <v>34824</v>
          </cell>
          <cell r="L181" t="str">
            <v>COM</v>
          </cell>
          <cell r="M181">
            <v>42.23</v>
          </cell>
          <cell r="N181">
            <v>26378</v>
          </cell>
          <cell r="O181">
            <v>38607</v>
          </cell>
          <cell r="P181">
            <v>0</v>
          </cell>
          <cell r="Q181" t="str">
            <v>N</v>
          </cell>
          <cell r="R181">
            <v>0</v>
          </cell>
          <cell r="S181">
            <v>0</v>
          </cell>
          <cell r="T181" t="str">
            <v>Driver - Lead</v>
          </cell>
          <cell r="U181" t="str">
            <v>SSC</v>
          </cell>
          <cell r="V181" t="str">
            <v>350S</v>
          </cell>
        </row>
        <row r="182">
          <cell r="B182">
            <v>93201</v>
          </cell>
          <cell r="C182" t="str">
            <v>5100014</v>
          </cell>
          <cell r="D182" t="str">
            <v>BINGEN, MAX F.</v>
          </cell>
          <cell r="E182" t="str">
            <v>FTSTC3</v>
          </cell>
          <cell r="F182" t="str">
            <v>Driver - Fantastic 3</v>
          </cell>
          <cell r="G182" t="str">
            <v>3</v>
          </cell>
          <cell r="H182" t="str">
            <v>350S</v>
          </cell>
          <cell r="I182">
            <v>34862</v>
          </cell>
          <cell r="J182">
            <v>34988</v>
          </cell>
          <cell r="K182">
            <v>34862</v>
          </cell>
          <cell r="L182" t="str">
            <v>DSP</v>
          </cell>
          <cell r="M182">
            <v>42.23</v>
          </cell>
          <cell r="N182">
            <v>23427</v>
          </cell>
          <cell r="O182">
            <v>38906</v>
          </cell>
          <cell r="P182">
            <v>0</v>
          </cell>
          <cell r="Q182" t="str">
            <v>N</v>
          </cell>
          <cell r="R182">
            <v>0</v>
          </cell>
          <cell r="S182">
            <v>0</v>
          </cell>
          <cell r="T182" t="str">
            <v>Driver - Lead</v>
          </cell>
          <cell r="U182" t="str">
            <v>SSC</v>
          </cell>
          <cell r="V182" t="str">
            <v>350S</v>
          </cell>
        </row>
        <row r="183">
          <cell r="B183">
            <v>93497</v>
          </cell>
          <cell r="C183" t="str">
            <v>5100014</v>
          </cell>
          <cell r="D183" t="str">
            <v>HANSEN, JAMES ALAN</v>
          </cell>
          <cell r="E183" t="str">
            <v>OPSUP</v>
          </cell>
          <cell r="F183" t="str">
            <v>Operations Supvsr</v>
          </cell>
          <cell r="G183" t="str">
            <v>2</v>
          </cell>
          <cell r="H183">
            <v>0</v>
          </cell>
          <cell r="I183">
            <v>34886</v>
          </cell>
          <cell r="J183">
            <v>34886</v>
          </cell>
          <cell r="K183">
            <v>34886</v>
          </cell>
          <cell r="L183">
            <v>0</v>
          </cell>
          <cell r="M183">
            <v>37.375</v>
          </cell>
          <cell r="N183">
            <v>19106</v>
          </cell>
          <cell r="O183">
            <v>20061</v>
          </cell>
          <cell r="P183" t="str">
            <v>22</v>
          </cell>
          <cell r="Q183" t="str">
            <v>Y</v>
          </cell>
          <cell r="R183">
            <v>0</v>
          </cell>
          <cell r="S183">
            <v>0</v>
          </cell>
          <cell r="T183" t="str">
            <v>NonU</v>
          </cell>
          <cell r="U183" t="str">
            <v>SSC</v>
          </cell>
          <cell r="V183" t="str">
            <v>NonU</v>
          </cell>
        </row>
        <row r="184">
          <cell r="B184">
            <v>93833</v>
          </cell>
          <cell r="C184" t="str">
            <v>5100014</v>
          </cell>
          <cell r="D184" t="str">
            <v>GALDAMEZ, HERBERT W.</v>
          </cell>
          <cell r="E184" t="str">
            <v>FTSTC3</v>
          </cell>
          <cell r="F184" t="str">
            <v>Driver - Fantastic 3</v>
          </cell>
          <cell r="G184" t="str">
            <v>3</v>
          </cell>
          <cell r="H184" t="str">
            <v>350S</v>
          </cell>
          <cell r="I184">
            <v>34939</v>
          </cell>
          <cell r="J184">
            <v>35065</v>
          </cell>
          <cell r="K184">
            <v>34939</v>
          </cell>
          <cell r="L184" t="str">
            <v>DSP</v>
          </cell>
          <cell r="M184">
            <v>42.23</v>
          </cell>
          <cell r="N184">
            <v>25561</v>
          </cell>
          <cell r="O184">
            <v>627137</v>
          </cell>
          <cell r="P184">
            <v>0</v>
          </cell>
          <cell r="Q184" t="str">
            <v>N</v>
          </cell>
          <cell r="R184">
            <v>0</v>
          </cell>
          <cell r="S184">
            <v>0</v>
          </cell>
          <cell r="T184" t="str">
            <v>Driver - Lead</v>
          </cell>
          <cell r="U184" t="str">
            <v>SSC</v>
          </cell>
          <cell r="V184" t="str">
            <v>350S</v>
          </cell>
        </row>
        <row r="185">
          <cell r="B185">
            <v>94140</v>
          </cell>
          <cell r="C185" t="str">
            <v>5100014</v>
          </cell>
          <cell r="D185" t="str">
            <v>WYSLING, ALAN R.</v>
          </cell>
          <cell r="E185" t="str">
            <v>FTSTC3</v>
          </cell>
          <cell r="F185" t="str">
            <v>Driver - Fantastic 3</v>
          </cell>
          <cell r="G185" t="str">
            <v>3</v>
          </cell>
          <cell r="H185" t="str">
            <v>350S</v>
          </cell>
          <cell r="I185">
            <v>34983</v>
          </cell>
          <cell r="J185">
            <v>35109</v>
          </cell>
          <cell r="K185">
            <v>34983</v>
          </cell>
          <cell r="L185" t="str">
            <v>DSP</v>
          </cell>
          <cell r="M185">
            <v>42.23</v>
          </cell>
          <cell r="N185">
            <v>24844</v>
          </cell>
          <cell r="O185">
            <v>93497</v>
          </cell>
          <cell r="P185">
            <v>0</v>
          </cell>
          <cell r="Q185" t="str">
            <v>N</v>
          </cell>
          <cell r="R185">
            <v>0</v>
          </cell>
          <cell r="S185">
            <v>0</v>
          </cell>
          <cell r="T185" t="str">
            <v>Driver - Lead</v>
          </cell>
          <cell r="U185" t="str">
            <v>SSC</v>
          </cell>
          <cell r="V185" t="str">
            <v>350S</v>
          </cell>
        </row>
        <row r="186">
          <cell r="B186">
            <v>94764</v>
          </cell>
          <cell r="C186" t="str">
            <v>5100060</v>
          </cell>
          <cell r="D186" t="str">
            <v>BARAJAS, FORTUNATO</v>
          </cell>
          <cell r="E186" t="str">
            <v>DRDBOX</v>
          </cell>
          <cell r="F186" t="str">
            <v>Driver - Debris Box</v>
          </cell>
          <cell r="G186" t="str">
            <v>3</v>
          </cell>
          <cell r="H186" t="str">
            <v>350S</v>
          </cell>
          <cell r="I186">
            <v>35017</v>
          </cell>
          <cell r="J186">
            <v>35143</v>
          </cell>
          <cell r="K186">
            <v>35017</v>
          </cell>
          <cell r="L186" t="str">
            <v>COM</v>
          </cell>
          <cell r="M186">
            <v>42.23</v>
          </cell>
          <cell r="N186">
            <v>22689</v>
          </cell>
          <cell r="O186">
            <v>38607</v>
          </cell>
          <cell r="P186">
            <v>0</v>
          </cell>
          <cell r="Q186" t="str">
            <v>N</v>
          </cell>
          <cell r="R186">
            <v>0</v>
          </cell>
          <cell r="S186">
            <v>0</v>
          </cell>
          <cell r="T186" t="str">
            <v>Driver - Lead</v>
          </cell>
          <cell r="U186" t="str">
            <v>SSC</v>
          </cell>
          <cell r="V186" t="str">
            <v>350S</v>
          </cell>
        </row>
        <row r="187">
          <cell r="B187">
            <v>94916</v>
          </cell>
          <cell r="C187" t="str">
            <v>5100014</v>
          </cell>
          <cell r="D187" t="str">
            <v>BANDES, CAMILO J.</v>
          </cell>
          <cell r="E187" t="str">
            <v>FTSTC3</v>
          </cell>
          <cell r="F187" t="str">
            <v>Driver - Fantastic 3</v>
          </cell>
          <cell r="G187" t="str">
            <v>3</v>
          </cell>
          <cell r="H187" t="str">
            <v>350S</v>
          </cell>
          <cell r="I187">
            <v>35037</v>
          </cell>
          <cell r="J187">
            <v>35163</v>
          </cell>
          <cell r="K187">
            <v>35037</v>
          </cell>
          <cell r="L187" t="str">
            <v>DSP</v>
          </cell>
          <cell r="M187">
            <v>42.23</v>
          </cell>
          <cell r="N187">
            <v>26671</v>
          </cell>
          <cell r="O187">
            <v>627137</v>
          </cell>
          <cell r="P187">
            <v>0</v>
          </cell>
          <cell r="Q187" t="str">
            <v>N</v>
          </cell>
          <cell r="R187">
            <v>0</v>
          </cell>
          <cell r="S187">
            <v>0</v>
          </cell>
          <cell r="T187" t="str">
            <v>Driver - Lead</v>
          </cell>
          <cell r="U187" t="str">
            <v>SSC</v>
          </cell>
          <cell r="V187" t="str">
            <v>350S</v>
          </cell>
        </row>
        <row r="188">
          <cell r="B188">
            <v>94975</v>
          </cell>
          <cell r="C188" t="str">
            <v>5100010</v>
          </cell>
          <cell r="D188" t="str">
            <v>BADER, MIRIAM</v>
          </cell>
          <cell r="E188" t="str">
            <v>CSREP2</v>
          </cell>
          <cell r="F188" t="str">
            <v>Customer Service Rep II</v>
          </cell>
          <cell r="G188" t="str">
            <v>4</v>
          </cell>
          <cell r="H188" t="str">
            <v>350CLR</v>
          </cell>
          <cell r="I188">
            <v>35044</v>
          </cell>
          <cell r="J188">
            <v>1</v>
          </cell>
          <cell r="K188">
            <v>35044</v>
          </cell>
          <cell r="L188" t="str">
            <v>OF2</v>
          </cell>
          <cell r="M188">
            <v>29.704999999999998</v>
          </cell>
          <cell r="N188">
            <v>20943</v>
          </cell>
          <cell r="O188">
            <v>42251</v>
          </cell>
          <cell r="P188">
            <v>0</v>
          </cell>
          <cell r="Q188" t="str">
            <v>N</v>
          </cell>
          <cell r="R188">
            <v>0</v>
          </cell>
          <cell r="S188">
            <v>0</v>
          </cell>
          <cell r="T188" t="str">
            <v>350CLR</v>
          </cell>
          <cell r="U188" t="str">
            <v>SSC</v>
          </cell>
          <cell r="V188" t="str">
            <v>350CLR</v>
          </cell>
        </row>
        <row r="189">
          <cell r="B189">
            <v>95724</v>
          </cell>
          <cell r="C189" t="str">
            <v>5100014</v>
          </cell>
          <cell r="D189" t="str">
            <v>DO, MICHAEL</v>
          </cell>
          <cell r="E189" t="str">
            <v>FTSTC3</v>
          </cell>
          <cell r="F189" t="str">
            <v>Driver - Fantastic 3</v>
          </cell>
          <cell r="G189" t="str">
            <v>3</v>
          </cell>
          <cell r="H189" t="str">
            <v>350S</v>
          </cell>
          <cell r="I189">
            <v>35074</v>
          </cell>
          <cell r="J189">
            <v>35200</v>
          </cell>
          <cell r="K189">
            <v>35074</v>
          </cell>
          <cell r="L189" t="str">
            <v>DSP</v>
          </cell>
          <cell r="M189">
            <v>42.23</v>
          </cell>
          <cell r="N189">
            <v>25313</v>
          </cell>
          <cell r="O189">
            <v>627137</v>
          </cell>
          <cell r="P189">
            <v>0</v>
          </cell>
          <cell r="Q189" t="str">
            <v>N</v>
          </cell>
          <cell r="R189">
            <v>0</v>
          </cell>
          <cell r="S189">
            <v>0</v>
          </cell>
          <cell r="T189" t="str">
            <v>Driver - Lead</v>
          </cell>
          <cell r="U189" t="str">
            <v>SSC</v>
          </cell>
          <cell r="V189" t="str">
            <v>350S</v>
          </cell>
        </row>
        <row r="190">
          <cell r="B190">
            <v>95741</v>
          </cell>
          <cell r="C190" t="str">
            <v>5100014</v>
          </cell>
          <cell r="D190" t="str">
            <v>HERNANDEZ, RAYMUNDO</v>
          </cell>
          <cell r="E190" t="str">
            <v>FTSTC3</v>
          </cell>
          <cell r="F190" t="str">
            <v>Driver - Fantastic 3</v>
          </cell>
          <cell r="G190" t="str">
            <v>3</v>
          </cell>
          <cell r="H190" t="str">
            <v>350S</v>
          </cell>
          <cell r="I190">
            <v>35076</v>
          </cell>
          <cell r="J190">
            <v>35202</v>
          </cell>
          <cell r="K190">
            <v>35076</v>
          </cell>
          <cell r="L190" t="str">
            <v>DSP</v>
          </cell>
          <cell r="M190">
            <v>42.23</v>
          </cell>
          <cell r="N190">
            <v>26317</v>
          </cell>
          <cell r="O190">
            <v>627137</v>
          </cell>
          <cell r="P190">
            <v>0</v>
          </cell>
          <cell r="Q190" t="str">
            <v>N</v>
          </cell>
          <cell r="R190">
            <v>0</v>
          </cell>
          <cell r="S190">
            <v>0</v>
          </cell>
          <cell r="T190" t="str">
            <v>Driver - Lead</v>
          </cell>
          <cell r="U190" t="str">
            <v>SSC</v>
          </cell>
          <cell r="V190" t="str">
            <v>350S</v>
          </cell>
        </row>
        <row r="191">
          <cell r="B191">
            <v>95804</v>
          </cell>
          <cell r="C191" t="str">
            <v>5100050</v>
          </cell>
          <cell r="D191" t="str">
            <v>GOMEZ, JOHN</v>
          </cell>
          <cell r="E191" t="str">
            <v>DRIVER</v>
          </cell>
          <cell r="F191" t="str">
            <v>Driver</v>
          </cell>
          <cell r="G191" t="str">
            <v>3</v>
          </cell>
          <cell r="H191" t="str">
            <v>350S</v>
          </cell>
          <cell r="I191">
            <v>35086</v>
          </cell>
          <cell r="J191">
            <v>35212</v>
          </cell>
          <cell r="K191">
            <v>35086</v>
          </cell>
          <cell r="L191" t="str">
            <v>DSP</v>
          </cell>
          <cell r="M191">
            <v>42.23</v>
          </cell>
          <cell r="N191">
            <v>25349</v>
          </cell>
          <cell r="O191">
            <v>58755</v>
          </cell>
          <cell r="P191">
            <v>0</v>
          </cell>
          <cell r="Q191" t="str">
            <v>N</v>
          </cell>
          <cell r="R191">
            <v>0</v>
          </cell>
          <cell r="S191">
            <v>0</v>
          </cell>
          <cell r="T191" t="str">
            <v>Driver - Reg.</v>
          </cell>
          <cell r="U191" t="str">
            <v>SSC</v>
          </cell>
          <cell r="V191" t="str">
            <v>350S</v>
          </cell>
        </row>
        <row r="192">
          <cell r="B192">
            <v>82051</v>
          </cell>
          <cell r="C192" t="str">
            <v>5100014</v>
          </cell>
          <cell r="D192" t="str">
            <v>BARBA, RICARDO B.</v>
          </cell>
          <cell r="E192" t="str">
            <v>FTSTC3</v>
          </cell>
          <cell r="F192" t="str">
            <v>Driver - Fantastic 3</v>
          </cell>
          <cell r="G192" t="str">
            <v>3</v>
          </cell>
          <cell r="H192" t="str">
            <v>350S</v>
          </cell>
          <cell r="I192">
            <v>33105</v>
          </cell>
          <cell r="J192">
            <v>35233</v>
          </cell>
          <cell r="K192">
            <v>35107</v>
          </cell>
          <cell r="L192" t="str">
            <v>DSP</v>
          </cell>
          <cell r="M192">
            <v>42.23</v>
          </cell>
          <cell r="N192">
            <v>24892</v>
          </cell>
          <cell r="O192">
            <v>627137</v>
          </cell>
          <cell r="P192">
            <v>0</v>
          </cell>
          <cell r="Q192" t="str">
            <v>N</v>
          </cell>
          <cell r="R192">
            <v>0</v>
          </cell>
          <cell r="S192">
            <v>0</v>
          </cell>
          <cell r="T192" t="str">
            <v>Driver - Lead</v>
          </cell>
          <cell r="U192" t="str">
            <v>SSC</v>
          </cell>
          <cell r="V192" t="str">
            <v>350S</v>
          </cell>
        </row>
        <row r="193">
          <cell r="B193">
            <v>96575</v>
          </cell>
          <cell r="C193" t="str">
            <v>5100014</v>
          </cell>
          <cell r="D193" t="str">
            <v>RATTARO, JEFF</v>
          </cell>
          <cell r="E193" t="str">
            <v>FTSTC3</v>
          </cell>
          <cell r="F193" t="str">
            <v>Driver - Fantastic 3</v>
          </cell>
          <cell r="G193" t="str">
            <v>3</v>
          </cell>
          <cell r="H193" t="str">
            <v>350S</v>
          </cell>
          <cell r="I193">
            <v>35159</v>
          </cell>
          <cell r="J193">
            <v>35285</v>
          </cell>
          <cell r="K193">
            <v>35159</v>
          </cell>
          <cell r="L193" t="str">
            <v>DSP</v>
          </cell>
          <cell r="M193">
            <v>42.23</v>
          </cell>
          <cell r="N193">
            <v>28162</v>
          </cell>
          <cell r="O193">
            <v>38228</v>
          </cell>
          <cell r="P193">
            <v>0</v>
          </cell>
          <cell r="Q193" t="str">
            <v>N</v>
          </cell>
          <cell r="R193">
            <v>0</v>
          </cell>
          <cell r="S193">
            <v>0</v>
          </cell>
          <cell r="T193" t="str">
            <v>Driver - Lead</v>
          </cell>
          <cell r="U193" t="str">
            <v>SSC</v>
          </cell>
          <cell r="V193" t="str">
            <v>350S</v>
          </cell>
        </row>
        <row r="194">
          <cell r="B194">
            <v>97586</v>
          </cell>
          <cell r="C194" t="str">
            <v>5100013</v>
          </cell>
          <cell r="D194" t="str">
            <v>ZAMUDIO, ROBERTO</v>
          </cell>
          <cell r="E194" t="str">
            <v>DRBIC</v>
          </cell>
          <cell r="F194" t="str">
            <v>Driver - BIC</v>
          </cell>
          <cell r="G194" t="str">
            <v>3</v>
          </cell>
          <cell r="H194" t="str">
            <v>350S</v>
          </cell>
          <cell r="I194">
            <v>35234</v>
          </cell>
          <cell r="J194">
            <v>35360</v>
          </cell>
          <cell r="K194">
            <v>35234</v>
          </cell>
          <cell r="L194" t="str">
            <v>DSP</v>
          </cell>
          <cell r="M194">
            <v>42.23</v>
          </cell>
          <cell r="N194">
            <v>21890</v>
          </cell>
          <cell r="O194">
            <v>350705</v>
          </cell>
          <cell r="P194">
            <v>0</v>
          </cell>
          <cell r="Q194" t="str">
            <v>N</v>
          </cell>
          <cell r="R194">
            <v>0</v>
          </cell>
          <cell r="S194">
            <v>0</v>
          </cell>
          <cell r="T194" t="str">
            <v>Driver - BIC</v>
          </cell>
          <cell r="U194" t="str">
            <v>SSC</v>
          </cell>
          <cell r="V194" t="str">
            <v>350S</v>
          </cell>
        </row>
        <row r="195">
          <cell r="B195">
            <v>97615</v>
          </cell>
          <cell r="C195" t="str">
            <v>5100014</v>
          </cell>
          <cell r="D195" t="str">
            <v>PIKE, ERIC</v>
          </cell>
          <cell r="E195" t="str">
            <v>FTSTC3</v>
          </cell>
          <cell r="F195" t="str">
            <v>Driver - Fantastic 3</v>
          </cell>
          <cell r="G195" t="str">
            <v>3</v>
          </cell>
          <cell r="H195" t="str">
            <v>350S</v>
          </cell>
          <cell r="I195">
            <v>35241</v>
          </cell>
          <cell r="J195">
            <v>35367</v>
          </cell>
          <cell r="K195">
            <v>35241</v>
          </cell>
          <cell r="L195" t="str">
            <v>DSP</v>
          </cell>
          <cell r="M195">
            <v>42.23</v>
          </cell>
          <cell r="N195">
            <v>25157</v>
          </cell>
          <cell r="O195">
            <v>627137</v>
          </cell>
          <cell r="P195">
            <v>0</v>
          </cell>
          <cell r="Q195" t="str">
            <v>N</v>
          </cell>
          <cell r="R195">
            <v>0</v>
          </cell>
          <cell r="S195">
            <v>0</v>
          </cell>
          <cell r="T195" t="str">
            <v>Driver - Lead</v>
          </cell>
          <cell r="U195" t="str">
            <v>SSC</v>
          </cell>
          <cell r="V195" t="str">
            <v>350S</v>
          </cell>
        </row>
        <row r="196">
          <cell r="B196">
            <v>97623</v>
          </cell>
          <cell r="C196" t="str">
            <v>5100014</v>
          </cell>
          <cell r="D196" t="str">
            <v>GOMEZ, ERNESTO</v>
          </cell>
          <cell r="E196" t="str">
            <v>FTSTC3</v>
          </cell>
          <cell r="F196" t="str">
            <v>Driver - Fantastic 3</v>
          </cell>
          <cell r="G196" t="str">
            <v>3</v>
          </cell>
          <cell r="H196" t="str">
            <v>350S</v>
          </cell>
          <cell r="I196">
            <v>35242</v>
          </cell>
          <cell r="J196">
            <v>35368</v>
          </cell>
          <cell r="K196">
            <v>35242</v>
          </cell>
          <cell r="L196" t="str">
            <v>DSP</v>
          </cell>
          <cell r="M196">
            <v>42.23</v>
          </cell>
          <cell r="N196">
            <v>25149</v>
          </cell>
          <cell r="O196">
            <v>627137</v>
          </cell>
          <cell r="P196">
            <v>0</v>
          </cell>
          <cell r="Q196" t="str">
            <v>N</v>
          </cell>
          <cell r="R196">
            <v>0</v>
          </cell>
          <cell r="S196">
            <v>0</v>
          </cell>
          <cell r="T196" t="str">
            <v>Driver - Lead</v>
          </cell>
          <cell r="U196" t="str">
            <v>SSC</v>
          </cell>
          <cell r="V196" t="str">
            <v>350S</v>
          </cell>
        </row>
        <row r="197">
          <cell r="B197">
            <v>98298</v>
          </cell>
          <cell r="C197" t="str">
            <v>5100014</v>
          </cell>
          <cell r="D197" t="str">
            <v>PONCE, SAMUEL</v>
          </cell>
          <cell r="E197" t="str">
            <v>FTSTC3</v>
          </cell>
          <cell r="F197" t="str">
            <v>Driver - Fantastic 3</v>
          </cell>
          <cell r="G197" t="str">
            <v>3</v>
          </cell>
          <cell r="H197" t="str">
            <v>350S</v>
          </cell>
          <cell r="I197">
            <v>35298</v>
          </cell>
          <cell r="J197">
            <v>35424</v>
          </cell>
          <cell r="K197">
            <v>35298</v>
          </cell>
          <cell r="L197" t="str">
            <v>DSP</v>
          </cell>
          <cell r="M197">
            <v>42.23</v>
          </cell>
          <cell r="N197">
            <v>23243</v>
          </cell>
          <cell r="O197">
            <v>627137</v>
          </cell>
          <cell r="P197">
            <v>0</v>
          </cell>
          <cell r="Q197" t="str">
            <v>N</v>
          </cell>
          <cell r="R197">
            <v>0</v>
          </cell>
          <cell r="S197">
            <v>0</v>
          </cell>
          <cell r="T197" t="str">
            <v>Driver - Lead</v>
          </cell>
          <cell r="U197" t="str">
            <v>SSC</v>
          </cell>
          <cell r="V197" t="str">
            <v>350S</v>
          </cell>
        </row>
        <row r="198">
          <cell r="B198">
            <v>98440</v>
          </cell>
          <cell r="C198" t="str">
            <v>5100013</v>
          </cell>
          <cell r="D198" t="str">
            <v>GUTIERREZ, ROGELIO</v>
          </cell>
          <cell r="E198" t="str">
            <v>DRBIC</v>
          </cell>
          <cell r="F198" t="str">
            <v>Driver - BIC</v>
          </cell>
          <cell r="G198" t="str">
            <v>3</v>
          </cell>
          <cell r="H198" t="str">
            <v>350S</v>
          </cell>
          <cell r="I198">
            <v>35312</v>
          </cell>
          <cell r="J198">
            <v>35439</v>
          </cell>
          <cell r="K198">
            <v>35312</v>
          </cell>
          <cell r="L198" t="str">
            <v>DSP</v>
          </cell>
          <cell r="M198">
            <v>42.23</v>
          </cell>
          <cell r="N198">
            <v>25079</v>
          </cell>
          <cell r="O198">
            <v>350705</v>
          </cell>
          <cell r="P198">
            <v>0</v>
          </cell>
          <cell r="Q198" t="str">
            <v>N</v>
          </cell>
          <cell r="R198">
            <v>0</v>
          </cell>
          <cell r="S198">
            <v>0</v>
          </cell>
          <cell r="T198" t="str">
            <v>Driver - BIC</v>
          </cell>
          <cell r="U198" t="str">
            <v>SSC</v>
          </cell>
          <cell r="V198" t="str">
            <v>350S</v>
          </cell>
        </row>
        <row r="199">
          <cell r="B199">
            <v>98765</v>
          </cell>
          <cell r="C199" t="str">
            <v>5100015</v>
          </cell>
          <cell r="D199" t="str">
            <v>LIPKINS, TERRANCE A.</v>
          </cell>
          <cell r="E199" t="str">
            <v>DRIVER</v>
          </cell>
          <cell r="F199" t="str">
            <v>Driver</v>
          </cell>
          <cell r="G199" t="str">
            <v>3</v>
          </cell>
          <cell r="H199" t="str">
            <v>350S</v>
          </cell>
          <cell r="I199">
            <v>35345</v>
          </cell>
          <cell r="J199">
            <v>35472</v>
          </cell>
          <cell r="K199">
            <v>35345</v>
          </cell>
          <cell r="L199" t="str">
            <v>DSP</v>
          </cell>
          <cell r="M199">
            <v>42.23</v>
          </cell>
          <cell r="N199">
            <v>27560</v>
          </cell>
          <cell r="O199">
            <v>83141</v>
          </cell>
          <cell r="P199">
            <v>0</v>
          </cell>
          <cell r="Q199" t="str">
            <v>N</v>
          </cell>
          <cell r="R199">
            <v>0</v>
          </cell>
          <cell r="S199">
            <v>0</v>
          </cell>
          <cell r="T199" t="str">
            <v>Driver - Reg.</v>
          </cell>
          <cell r="U199" t="str">
            <v>SSC</v>
          </cell>
          <cell r="V199" t="str">
            <v>350S</v>
          </cell>
        </row>
        <row r="200">
          <cell r="B200">
            <v>98802</v>
          </cell>
          <cell r="C200" t="str">
            <v>5100014</v>
          </cell>
          <cell r="D200" t="str">
            <v>PLASCENCIA, RUBEN</v>
          </cell>
          <cell r="E200" t="str">
            <v>FTSTC3</v>
          </cell>
          <cell r="F200" t="str">
            <v>Driver - Fantastic 3</v>
          </cell>
          <cell r="G200" t="str">
            <v>3</v>
          </cell>
          <cell r="H200" t="str">
            <v>350S</v>
          </cell>
          <cell r="I200">
            <v>35352</v>
          </cell>
          <cell r="J200">
            <v>35479</v>
          </cell>
          <cell r="K200">
            <v>35352</v>
          </cell>
          <cell r="L200" t="str">
            <v>DSP</v>
          </cell>
          <cell r="M200">
            <v>42.23</v>
          </cell>
          <cell r="N200">
            <v>25449</v>
          </cell>
          <cell r="O200">
            <v>627137</v>
          </cell>
          <cell r="P200">
            <v>0</v>
          </cell>
          <cell r="Q200" t="str">
            <v>N</v>
          </cell>
          <cell r="R200">
            <v>0</v>
          </cell>
          <cell r="S200">
            <v>0</v>
          </cell>
          <cell r="T200" t="str">
            <v>Driver - Lead</v>
          </cell>
          <cell r="U200" t="str">
            <v>SSC</v>
          </cell>
          <cell r="V200" t="str">
            <v>350S</v>
          </cell>
        </row>
        <row r="201">
          <cell r="B201">
            <v>98870</v>
          </cell>
          <cell r="C201" t="str">
            <v>5100014</v>
          </cell>
          <cell r="D201" t="str">
            <v>JOHNSON, RICKEY</v>
          </cell>
          <cell r="E201" t="str">
            <v>FTSTC3</v>
          </cell>
          <cell r="F201" t="str">
            <v>Driver - Fantastic 3</v>
          </cell>
          <cell r="G201" t="str">
            <v>3</v>
          </cell>
          <cell r="H201" t="str">
            <v>350S</v>
          </cell>
          <cell r="I201">
            <v>35361</v>
          </cell>
          <cell r="J201">
            <v>35488</v>
          </cell>
          <cell r="K201">
            <v>35361</v>
          </cell>
          <cell r="L201" t="str">
            <v>DSP</v>
          </cell>
          <cell r="M201">
            <v>42.23</v>
          </cell>
          <cell r="N201">
            <v>20684</v>
          </cell>
          <cell r="O201">
            <v>83141</v>
          </cell>
          <cell r="P201">
            <v>0</v>
          </cell>
          <cell r="Q201" t="str">
            <v>N</v>
          </cell>
          <cell r="R201">
            <v>0</v>
          </cell>
          <cell r="S201">
            <v>0</v>
          </cell>
          <cell r="T201" t="str">
            <v>Driver - Lead</v>
          </cell>
          <cell r="U201" t="str">
            <v>SSC</v>
          </cell>
          <cell r="V201" t="str">
            <v>350S</v>
          </cell>
        </row>
        <row r="202">
          <cell r="B202">
            <v>99071</v>
          </cell>
          <cell r="C202" t="str">
            <v>5100014</v>
          </cell>
          <cell r="D202" t="str">
            <v>MERCADO, JAMES</v>
          </cell>
          <cell r="E202" t="str">
            <v>FTSTC3</v>
          </cell>
          <cell r="F202" t="str">
            <v>Driver - Fantastic 3</v>
          </cell>
          <cell r="G202" t="str">
            <v>3</v>
          </cell>
          <cell r="H202" t="str">
            <v>350S</v>
          </cell>
          <cell r="I202">
            <v>35381</v>
          </cell>
          <cell r="J202">
            <v>35508</v>
          </cell>
          <cell r="K202">
            <v>35381</v>
          </cell>
          <cell r="L202" t="str">
            <v>DSP</v>
          </cell>
          <cell r="M202">
            <v>42.23</v>
          </cell>
          <cell r="N202">
            <v>24865</v>
          </cell>
          <cell r="O202">
            <v>83141</v>
          </cell>
          <cell r="P202">
            <v>0</v>
          </cell>
          <cell r="Q202" t="str">
            <v>N</v>
          </cell>
          <cell r="R202">
            <v>0</v>
          </cell>
          <cell r="S202">
            <v>0</v>
          </cell>
          <cell r="T202" t="str">
            <v>Driver - Lead</v>
          </cell>
          <cell r="U202" t="str">
            <v>SSC</v>
          </cell>
          <cell r="V202" t="str">
            <v>350S</v>
          </cell>
        </row>
        <row r="203">
          <cell r="B203">
            <v>99151</v>
          </cell>
          <cell r="C203" t="str">
            <v>5100014</v>
          </cell>
          <cell r="D203" t="str">
            <v>CANDELARIO, RUBEN</v>
          </cell>
          <cell r="E203" t="str">
            <v>FTSTC3</v>
          </cell>
          <cell r="F203" t="str">
            <v>Driver - Fantastic 3</v>
          </cell>
          <cell r="G203" t="str">
            <v>3</v>
          </cell>
          <cell r="H203" t="str">
            <v>350S</v>
          </cell>
          <cell r="I203">
            <v>33000</v>
          </cell>
          <cell r="J203">
            <v>33126</v>
          </cell>
          <cell r="K203">
            <v>35401</v>
          </cell>
          <cell r="L203" t="str">
            <v>DSP</v>
          </cell>
          <cell r="M203">
            <v>42.23</v>
          </cell>
          <cell r="N203">
            <v>25677</v>
          </cell>
          <cell r="O203">
            <v>83141</v>
          </cell>
          <cell r="P203">
            <v>0</v>
          </cell>
          <cell r="Q203" t="str">
            <v>N</v>
          </cell>
          <cell r="R203">
            <v>0</v>
          </cell>
          <cell r="S203">
            <v>0</v>
          </cell>
          <cell r="T203" t="str">
            <v>Driver - Lead</v>
          </cell>
          <cell r="U203" t="str">
            <v>SSC</v>
          </cell>
          <cell r="V203" t="str">
            <v>350S</v>
          </cell>
        </row>
        <row r="204">
          <cell r="B204">
            <v>99442</v>
          </cell>
          <cell r="C204" t="str">
            <v>5100014</v>
          </cell>
          <cell r="D204" t="str">
            <v>GONZALEZ, RIGOBERTO</v>
          </cell>
          <cell r="E204" t="str">
            <v>FTSTC3</v>
          </cell>
          <cell r="F204" t="str">
            <v>Driver - Fantastic 3</v>
          </cell>
          <cell r="G204" t="str">
            <v>3</v>
          </cell>
          <cell r="H204" t="str">
            <v>350S</v>
          </cell>
          <cell r="I204">
            <v>32238</v>
          </cell>
          <cell r="J204">
            <v>32878</v>
          </cell>
          <cell r="K204">
            <v>35402</v>
          </cell>
          <cell r="L204" t="str">
            <v>DSP</v>
          </cell>
          <cell r="M204">
            <v>42.23</v>
          </cell>
          <cell r="N204">
            <v>25259</v>
          </cell>
          <cell r="O204">
            <v>83141</v>
          </cell>
          <cell r="P204">
            <v>0</v>
          </cell>
          <cell r="Q204" t="str">
            <v>N</v>
          </cell>
          <cell r="R204">
            <v>0</v>
          </cell>
          <cell r="S204">
            <v>0</v>
          </cell>
          <cell r="T204" t="str">
            <v>Driver - Lead</v>
          </cell>
          <cell r="U204" t="str">
            <v>SSC</v>
          </cell>
          <cell r="V204" t="str">
            <v>350S</v>
          </cell>
        </row>
        <row r="205">
          <cell r="B205">
            <v>99451</v>
          </cell>
          <cell r="C205" t="str">
            <v>5100014</v>
          </cell>
          <cell r="D205" t="str">
            <v>RENTERIA, MARTIN</v>
          </cell>
          <cell r="E205" t="str">
            <v>FTSTC3</v>
          </cell>
          <cell r="F205" t="str">
            <v>Driver - Fantastic 3</v>
          </cell>
          <cell r="G205" t="str">
            <v>3</v>
          </cell>
          <cell r="H205" t="str">
            <v>350S</v>
          </cell>
          <cell r="I205">
            <v>33855</v>
          </cell>
          <cell r="J205">
            <v>33982</v>
          </cell>
          <cell r="K205">
            <v>35403</v>
          </cell>
          <cell r="L205" t="str">
            <v>DSP</v>
          </cell>
          <cell r="M205">
            <v>42.23</v>
          </cell>
          <cell r="N205">
            <v>24188</v>
          </cell>
          <cell r="O205">
            <v>83141</v>
          </cell>
          <cell r="P205">
            <v>0</v>
          </cell>
          <cell r="Q205" t="str">
            <v>N</v>
          </cell>
          <cell r="R205">
            <v>0</v>
          </cell>
          <cell r="S205">
            <v>0</v>
          </cell>
          <cell r="T205" t="str">
            <v>Driver - Lead</v>
          </cell>
          <cell r="U205" t="str">
            <v>SSC</v>
          </cell>
          <cell r="V205" t="str">
            <v>350S</v>
          </cell>
        </row>
        <row r="206">
          <cell r="B206">
            <v>99531</v>
          </cell>
          <cell r="C206" t="str">
            <v>5100050</v>
          </cell>
          <cell r="D206" t="str">
            <v>WILE, JAMES</v>
          </cell>
          <cell r="E206" t="str">
            <v>DRIVER</v>
          </cell>
          <cell r="F206" t="str">
            <v>Driver</v>
          </cell>
          <cell r="G206" t="str">
            <v>3</v>
          </cell>
          <cell r="H206" t="str">
            <v>350S</v>
          </cell>
          <cell r="I206">
            <v>35415</v>
          </cell>
          <cell r="J206">
            <v>35542</v>
          </cell>
          <cell r="K206">
            <v>35415</v>
          </cell>
          <cell r="L206" t="str">
            <v>DSP</v>
          </cell>
          <cell r="M206">
            <v>42.23</v>
          </cell>
          <cell r="N206">
            <v>26140</v>
          </cell>
          <cell r="O206">
            <v>83141</v>
          </cell>
          <cell r="P206">
            <v>0</v>
          </cell>
          <cell r="Q206" t="str">
            <v>N</v>
          </cell>
          <cell r="R206">
            <v>0</v>
          </cell>
          <cell r="S206">
            <v>0</v>
          </cell>
          <cell r="T206" t="str">
            <v>Driver - Reg.</v>
          </cell>
          <cell r="U206" t="str">
            <v>SSC</v>
          </cell>
          <cell r="V206" t="str">
            <v>350S</v>
          </cell>
        </row>
        <row r="207">
          <cell r="B207">
            <v>99717</v>
          </cell>
          <cell r="C207" t="str">
            <v>5100014</v>
          </cell>
          <cell r="D207" t="str">
            <v>LUPPINO, DARYL</v>
          </cell>
          <cell r="E207" t="str">
            <v>FTSTC3</v>
          </cell>
          <cell r="F207" t="str">
            <v>Driver - Fantastic 3</v>
          </cell>
          <cell r="G207" t="str">
            <v>3</v>
          </cell>
          <cell r="H207" t="str">
            <v>350S</v>
          </cell>
          <cell r="I207">
            <v>35422</v>
          </cell>
          <cell r="J207">
            <v>35548</v>
          </cell>
          <cell r="K207">
            <v>35422</v>
          </cell>
          <cell r="L207" t="str">
            <v>DSP</v>
          </cell>
          <cell r="M207">
            <v>42.23</v>
          </cell>
          <cell r="N207">
            <v>21860</v>
          </cell>
          <cell r="O207">
            <v>83141</v>
          </cell>
          <cell r="P207">
            <v>0</v>
          </cell>
          <cell r="Q207" t="str">
            <v>N</v>
          </cell>
          <cell r="R207">
            <v>0</v>
          </cell>
          <cell r="S207">
            <v>0</v>
          </cell>
          <cell r="T207" t="str">
            <v>Driver - Lead</v>
          </cell>
          <cell r="U207" t="str">
            <v>SSC</v>
          </cell>
          <cell r="V207" t="str">
            <v>350S</v>
          </cell>
        </row>
        <row r="208">
          <cell r="B208">
            <v>100327</v>
          </cell>
          <cell r="C208" t="str">
            <v>5100015</v>
          </cell>
          <cell r="D208" t="str">
            <v>VERA, MANUEL B</v>
          </cell>
          <cell r="E208" t="str">
            <v>DRIVER</v>
          </cell>
          <cell r="F208" t="str">
            <v>Driver</v>
          </cell>
          <cell r="G208" t="str">
            <v>3</v>
          </cell>
          <cell r="H208" t="str">
            <v>350S</v>
          </cell>
          <cell r="I208">
            <v>33002</v>
          </cell>
          <cell r="J208">
            <v>33128</v>
          </cell>
          <cell r="K208">
            <v>35485</v>
          </cell>
          <cell r="L208" t="str">
            <v>DSP</v>
          </cell>
          <cell r="M208">
            <v>42.23</v>
          </cell>
          <cell r="N208">
            <v>25931</v>
          </cell>
          <cell r="O208">
            <v>627137</v>
          </cell>
          <cell r="P208">
            <v>0</v>
          </cell>
          <cell r="Q208" t="str">
            <v>N</v>
          </cell>
          <cell r="R208">
            <v>0</v>
          </cell>
          <cell r="S208">
            <v>0</v>
          </cell>
          <cell r="T208" t="str">
            <v>Driver - Reg.</v>
          </cell>
          <cell r="U208" t="str">
            <v>SSC</v>
          </cell>
          <cell r="V208" t="str">
            <v>350S</v>
          </cell>
        </row>
        <row r="209">
          <cell r="B209">
            <v>100554</v>
          </cell>
          <cell r="C209" t="str">
            <v>5100014</v>
          </cell>
          <cell r="D209" t="str">
            <v>MIMS, DEMITRI</v>
          </cell>
          <cell r="E209" t="str">
            <v>FTSTC3</v>
          </cell>
          <cell r="F209" t="str">
            <v>Driver - Fantastic 3</v>
          </cell>
          <cell r="G209" t="str">
            <v>3</v>
          </cell>
          <cell r="H209" t="str">
            <v>350S</v>
          </cell>
          <cell r="I209">
            <v>35508</v>
          </cell>
          <cell r="J209">
            <v>35634</v>
          </cell>
          <cell r="K209">
            <v>35508</v>
          </cell>
          <cell r="L209" t="str">
            <v>DSP</v>
          </cell>
          <cell r="M209">
            <v>42.23</v>
          </cell>
          <cell r="N209">
            <v>24645</v>
          </cell>
          <cell r="O209">
            <v>83141</v>
          </cell>
          <cell r="P209">
            <v>0</v>
          </cell>
          <cell r="Q209" t="str">
            <v>N</v>
          </cell>
          <cell r="R209">
            <v>0</v>
          </cell>
          <cell r="S209">
            <v>0</v>
          </cell>
          <cell r="T209" t="str">
            <v>Driver - Lead</v>
          </cell>
          <cell r="U209" t="str">
            <v>SSC</v>
          </cell>
          <cell r="V209" t="str">
            <v>350S</v>
          </cell>
        </row>
        <row r="210">
          <cell r="B210">
            <v>100790</v>
          </cell>
          <cell r="C210" t="str">
            <v>5100810</v>
          </cell>
          <cell r="D210" t="str">
            <v>MACDULA, JOELA</v>
          </cell>
          <cell r="E210" t="str">
            <v>EXASTS</v>
          </cell>
          <cell r="F210" t="str">
            <v>Executive Assistant</v>
          </cell>
          <cell r="G210">
            <v>0</v>
          </cell>
          <cell r="H210">
            <v>0</v>
          </cell>
          <cell r="I210">
            <v>35520</v>
          </cell>
          <cell r="J210">
            <v>35520</v>
          </cell>
          <cell r="K210">
            <v>35520</v>
          </cell>
          <cell r="L210" t="str">
            <v>GNA</v>
          </cell>
          <cell r="M210">
            <v>35.185000000000002</v>
          </cell>
          <cell r="N210">
            <v>22335</v>
          </cell>
          <cell r="O210">
            <v>91150</v>
          </cell>
          <cell r="P210" t="str">
            <v>19</v>
          </cell>
          <cell r="Q210" t="str">
            <v>N</v>
          </cell>
          <cell r="R210">
            <v>0</v>
          </cell>
          <cell r="S210">
            <v>0</v>
          </cell>
          <cell r="T210" t="str">
            <v>NonEx</v>
          </cell>
          <cell r="U210" t="str">
            <v>SSC</v>
          </cell>
          <cell r="V210" t="str">
            <v>NonEx</v>
          </cell>
        </row>
        <row r="211">
          <cell r="B211">
            <v>101661</v>
          </cell>
          <cell r="C211" t="str">
            <v>5100010</v>
          </cell>
          <cell r="D211" t="str">
            <v>HILL, TONI T.</v>
          </cell>
          <cell r="E211" t="str">
            <v>CSREP2</v>
          </cell>
          <cell r="F211" t="str">
            <v>Customer Service Rep II</v>
          </cell>
          <cell r="G211" t="str">
            <v>4</v>
          </cell>
          <cell r="H211" t="str">
            <v>350CLR</v>
          </cell>
          <cell r="I211">
            <v>35590</v>
          </cell>
          <cell r="J211">
            <v>1</v>
          </cell>
          <cell r="K211">
            <v>35590</v>
          </cell>
          <cell r="L211" t="str">
            <v>OFC</v>
          </cell>
          <cell r="M211">
            <v>29.704999999999998</v>
          </cell>
          <cell r="N211">
            <v>23236</v>
          </cell>
          <cell r="O211">
            <v>627508</v>
          </cell>
          <cell r="P211">
            <v>0</v>
          </cell>
          <cell r="Q211" t="str">
            <v>N</v>
          </cell>
          <cell r="R211">
            <v>0</v>
          </cell>
          <cell r="S211">
            <v>0</v>
          </cell>
          <cell r="T211" t="str">
            <v>350CLR</v>
          </cell>
          <cell r="U211" t="str">
            <v>SSC</v>
          </cell>
          <cell r="V211" t="str">
            <v>350CLR</v>
          </cell>
        </row>
        <row r="212">
          <cell r="B212">
            <v>101670</v>
          </cell>
          <cell r="C212" t="str">
            <v>5100014</v>
          </cell>
          <cell r="D212" t="str">
            <v>MUNOZ, MARTIN</v>
          </cell>
          <cell r="E212" t="str">
            <v>FTSTC3</v>
          </cell>
          <cell r="F212" t="str">
            <v>Driver - Fantastic 3</v>
          </cell>
          <cell r="G212" t="str">
            <v>3</v>
          </cell>
          <cell r="H212" t="str">
            <v>350S</v>
          </cell>
          <cell r="I212">
            <v>35592</v>
          </cell>
          <cell r="J212">
            <v>35718</v>
          </cell>
          <cell r="K212">
            <v>35592</v>
          </cell>
          <cell r="L212" t="str">
            <v>DSP</v>
          </cell>
          <cell r="M212">
            <v>42.23</v>
          </cell>
          <cell r="N212">
            <v>22269</v>
          </cell>
          <cell r="O212">
            <v>83141</v>
          </cell>
          <cell r="P212">
            <v>0</v>
          </cell>
          <cell r="Q212" t="str">
            <v>N</v>
          </cell>
          <cell r="R212">
            <v>0</v>
          </cell>
          <cell r="S212">
            <v>0</v>
          </cell>
          <cell r="T212" t="str">
            <v>Driver - Lead</v>
          </cell>
          <cell r="U212" t="str">
            <v>SSC</v>
          </cell>
          <cell r="V212" t="str">
            <v>350S</v>
          </cell>
        </row>
        <row r="213">
          <cell r="B213">
            <v>101872</v>
          </cell>
          <cell r="C213" t="str">
            <v>5100010</v>
          </cell>
          <cell r="D213" t="str">
            <v>MAY, JENNIFER C.</v>
          </cell>
          <cell r="E213" t="str">
            <v>CSREP2</v>
          </cell>
          <cell r="F213" t="str">
            <v>Customer Service Rep II</v>
          </cell>
          <cell r="G213" t="str">
            <v>4</v>
          </cell>
          <cell r="H213" t="str">
            <v>350CLR</v>
          </cell>
          <cell r="I213">
            <v>35605</v>
          </cell>
          <cell r="J213">
            <v>1</v>
          </cell>
          <cell r="K213">
            <v>35605</v>
          </cell>
          <cell r="L213" t="str">
            <v>OF2</v>
          </cell>
          <cell r="M213">
            <v>29.704999999999998</v>
          </cell>
          <cell r="N213">
            <v>26272</v>
          </cell>
          <cell r="O213">
            <v>42251</v>
          </cell>
          <cell r="P213">
            <v>0</v>
          </cell>
          <cell r="Q213" t="str">
            <v>N</v>
          </cell>
          <cell r="R213">
            <v>0</v>
          </cell>
          <cell r="S213">
            <v>0</v>
          </cell>
          <cell r="T213" t="str">
            <v>350CLR</v>
          </cell>
          <cell r="U213" t="str">
            <v>SSC</v>
          </cell>
          <cell r="V213" t="str">
            <v>350CLR</v>
          </cell>
        </row>
        <row r="214">
          <cell r="B214">
            <v>102445</v>
          </cell>
          <cell r="C214" t="str">
            <v>5100014</v>
          </cell>
          <cell r="D214" t="str">
            <v>LAZARIN, WILLIAM M.</v>
          </cell>
          <cell r="E214" t="str">
            <v>HELPER</v>
          </cell>
          <cell r="F214" t="str">
            <v>Helper</v>
          </cell>
          <cell r="G214" t="str">
            <v>3</v>
          </cell>
          <cell r="H214" t="str">
            <v>350S</v>
          </cell>
          <cell r="I214">
            <v>35625</v>
          </cell>
          <cell r="J214">
            <v>35751</v>
          </cell>
          <cell r="K214">
            <v>35625</v>
          </cell>
          <cell r="L214" t="str">
            <v>DSP</v>
          </cell>
          <cell r="M214">
            <v>40.18</v>
          </cell>
          <cell r="N214">
            <v>27627</v>
          </cell>
          <cell r="O214">
            <v>627137</v>
          </cell>
          <cell r="P214">
            <v>0</v>
          </cell>
          <cell r="Q214" t="str">
            <v>N</v>
          </cell>
          <cell r="R214">
            <v>0</v>
          </cell>
          <cell r="S214">
            <v>0</v>
          </cell>
          <cell r="T214" t="str">
            <v>Helper</v>
          </cell>
          <cell r="U214" t="str">
            <v>SSC</v>
          </cell>
          <cell r="V214" t="str">
            <v>350S</v>
          </cell>
        </row>
        <row r="215">
          <cell r="B215">
            <v>103350</v>
          </cell>
          <cell r="C215" t="str">
            <v>5100510</v>
          </cell>
          <cell r="D215" t="str">
            <v>NEWMAN, KENNETH W.</v>
          </cell>
          <cell r="E215" t="str">
            <v>OPSUP</v>
          </cell>
          <cell r="F215" t="str">
            <v>Operations Supvsr</v>
          </cell>
          <cell r="G215" t="str">
            <v>2</v>
          </cell>
          <cell r="H215">
            <v>0</v>
          </cell>
          <cell r="I215">
            <v>35751</v>
          </cell>
          <cell r="J215">
            <v>35751</v>
          </cell>
          <cell r="K215">
            <v>35751</v>
          </cell>
          <cell r="L215">
            <v>0</v>
          </cell>
          <cell r="M215">
            <v>37.210999999999999</v>
          </cell>
          <cell r="N215">
            <v>20268</v>
          </cell>
          <cell r="O215">
            <v>58755</v>
          </cell>
          <cell r="P215" t="str">
            <v>22</v>
          </cell>
          <cell r="Q215" t="str">
            <v>Y</v>
          </cell>
          <cell r="R215">
            <v>0</v>
          </cell>
          <cell r="S215">
            <v>0</v>
          </cell>
          <cell r="T215" t="str">
            <v>NonU</v>
          </cell>
          <cell r="U215" t="str">
            <v>SSC</v>
          </cell>
          <cell r="V215" t="str">
            <v>NonU</v>
          </cell>
        </row>
        <row r="216">
          <cell r="B216">
            <v>103481</v>
          </cell>
          <cell r="C216" t="str">
            <v>5100015</v>
          </cell>
          <cell r="D216" t="str">
            <v>RUBALCAVA, FRANCISCO J.</v>
          </cell>
          <cell r="E216" t="str">
            <v>DRIVER</v>
          </cell>
          <cell r="F216" t="str">
            <v>Driver</v>
          </cell>
          <cell r="G216" t="str">
            <v>3</v>
          </cell>
          <cell r="H216" t="str">
            <v>350S</v>
          </cell>
          <cell r="I216">
            <v>35772</v>
          </cell>
          <cell r="J216">
            <v>35898</v>
          </cell>
          <cell r="K216">
            <v>35772</v>
          </cell>
          <cell r="L216" t="str">
            <v>DSP</v>
          </cell>
          <cell r="M216">
            <v>42.23</v>
          </cell>
          <cell r="N216">
            <v>26153</v>
          </cell>
          <cell r="O216">
            <v>93497</v>
          </cell>
          <cell r="P216">
            <v>0</v>
          </cell>
          <cell r="Q216" t="str">
            <v>N</v>
          </cell>
          <cell r="R216">
            <v>0</v>
          </cell>
          <cell r="S216">
            <v>0</v>
          </cell>
          <cell r="T216" t="str">
            <v>Driver - Reg.</v>
          </cell>
          <cell r="U216" t="str">
            <v>SSC</v>
          </cell>
          <cell r="V216" t="str">
            <v>350S</v>
          </cell>
        </row>
        <row r="217">
          <cell r="B217">
            <v>103641</v>
          </cell>
          <cell r="C217" t="str">
            <v>5100014</v>
          </cell>
          <cell r="D217" t="str">
            <v>WOODWARD, ALADIN L.</v>
          </cell>
          <cell r="E217" t="str">
            <v>HELPER</v>
          </cell>
          <cell r="F217" t="str">
            <v>Helper</v>
          </cell>
          <cell r="G217" t="str">
            <v>3</v>
          </cell>
          <cell r="H217" t="str">
            <v>350S</v>
          </cell>
          <cell r="I217">
            <v>35779</v>
          </cell>
          <cell r="J217">
            <v>35905</v>
          </cell>
          <cell r="K217">
            <v>35779</v>
          </cell>
          <cell r="L217" t="str">
            <v>DSP</v>
          </cell>
          <cell r="M217">
            <v>40.18</v>
          </cell>
          <cell r="N217">
            <v>24898</v>
          </cell>
          <cell r="O217">
            <v>752464</v>
          </cell>
          <cell r="P217">
            <v>0</v>
          </cell>
          <cell r="Q217" t="str">
            <v>N</v>
          </cell>
          <cell r="R217">
            <v>0</v>
          </cell>
          <cell r="S217">
            <v>0</v>
          </cell>
          <cell r="T217" t="str">
            <v>Helper</v>
          </cell>
          <cell r="U217" t="str">
            <v>SSC</v>
          </cell>
          <cell r="V217" t="str">
            <v>350S</v>
          </cell>
        </row>
        <row r="218">
          <cell r="B218">
            <v>99637</v>
          </cell>
          <cell r="C218" t="str">
            <v>5100740</v>
          </cell>
          <cell r="D218" t="str">
            <v>JAMISON, KATHLEEN</v>
          </cell>
          <cell r="E218" t="str">
            <v>GHMGR</v>
          </cell>
          <cell r="F218" t="str">
            <v>Group Human Resources Manager</v>
          </cell>
          <cell r="G218" t="str">
            <v>SR</v>
          </cell>
          <cell r="H218">
            <v>0</v>
          </cell>
          <cell r="I218">
            <v>34638</v>
          </cell>
          <cell r="J218">
            <v>34638</v>
          </cell>
          <cell r="K218">
            <v>35792</v>
          </cell>
          <cell r="L218">
            <v>0</v>
          </cell>
          <cell r="M218">
            <v>66.951999999999998</v>
          </cell>
          <cell r="N218">
            <v>18486</v>
          </cell>
          <cell r="O218">
            <v>91150</v>
          </cell>
          <cell r="P218" t="str">
            <v>25</v>
          </cell>
          <cell r="Q218" t="str">
            <v>Y</v>
          </cell>
          <cell r="R218">
            <v>0</v>
          </cell>
          <cell r="S218">
            <v>0</v>
          </cell>
          <cell r="T218" t="str">
            <v>NonU</v>
          </cell>
          <cell r="U218" t="str">
            <v>SSC</v>
          </cell>
          <cell r="V218" t="str">
            <v>NonU</v>
          </cell>
        </row>
        <row r="219">
          <cell r="B219">
            <v>102779</v>
          </cell>
          <cell r="C219" t="str">
            <v>5100810</v>
          </cell>
          <cell r="D219" t="str">
            <v>LUI, STELLA M.</v>
          </cell>
          <cell r="E219" t="str">
            <v>GCNTRL</v>
          </cell>
          <cell r="F219" t="str">
            <v>Group Controller</v>
          </cell>
          <cell r="G219" t="str">
            <v>3</v>
          </cell>
          <cell r="H219">
            <v>0</v>
          </cell>
          <cell r="I219">
            <v>33709</v>
          </cell>
          <cell r="J219">
            <v>33709</v>
          </cell>
          <cell r="K219">
            <v>35792</v>
          </cell>
          <cell r="L219" t="str">
            <v>MGR</v>
          </cell>
          <cell r="M219">
            <v>72.938999999999993</v>
          </cell>
          <cell r="N219">
            <v>21897</v>
          </cell>
          <cell r="O219">
            <v>1253261</v>
          </cell>
          <cell r="P219" t="str">
            <v>27</v>
          </cell>
          <cell r="Q219" t="str">
            <v>Y</v>
          </cell>
          <cell r="R219">
            <v>0</v>
          </cell>
          <cell r="S219">
            <v>0</v>
          </cell>
          <cell r="T219" t="str">
            <v>NonU</v>
          </cell>
          <cell r="U219" t="str">
            <v>SSC</v>
          </cell>
          <cell r="V219" t="str">
            <v>NonU</v>
          </cell>
        </row>
        <row r="220">
          <cell r="B220">
            <v>38501</v>
          </cell>
          <cell r="C220" t="str">
            <v>5100810</v>
          </cell>
          <cell r="D220" t="str">
            <v>GIUSTI, PAUL F.</v>
          </cell>
          <cell r="E220" t="str">
            <v>GGCRM</v>
          </cell>
          <cell r="F220" t="str">
            <v>Group Gov &amp; Comm Rel Mgr</v>
          </cell>
          <cell r="G220">
            <v>0</v>
          </cell>
          <cell r="H220">
            <v>0</v>
          </cell>
          <cell r="I220">
            <v>28527</v>
          </cell>
          <cell r="J220">
            <v>28527</v>
          </cell>
          <cell r="K220">
            <v>35796</v>
          </cell>
          <cell r="L220">
            <v>0</v>
          </cell>
          <cell r="M220">
            <v>77.625</v>
          </cell>
          <cell r="N220">
            <v>20421</v>
          </cell>
          <cell r="O220">
            <v>91150</v>
          </cell>
          <cell r="P220" t="str">
            <v>28</v>
          </cell>
          <cell r="Q220" t="str">
            <v>Y</v>
          </cell>
          <cell r="R220">
            <v>0</v>
          </cell>
          <cell r="S220">
            <v>0</v>
          </cell>
          <cell r="T220" t="str">
            <v>NonU</v>
          </cell>
          <cell r="U220" t="str">
            <v>SSC</v>
          </cell>
          <cell r="V220" t="str">
            <v>NonU</v>
          </cell>
        </row>
        <row r="221">
          <cell r="B221">
            <v>300273</v>
          </cell>
          <cell r="C221" t="str">
            <v>5100016</v>
          </cell>
          <cell r="D221" t="str">
            <v>KIRK, GARY V.</v>
          </cell>
          <cell r="E221" t="str">
            <v>CSANL</v>
          </cell>
          <cell r="F221" t="str">
            <v>Commercial Service Analyst</v>
          </cell>
          <cell r="G221">
            <v>0</v>
          </cell>
          <cell r="H221">
            <v>0</v>
          </cell>
          <cell r="I221">
            <v>35815</v>
          </cell>
          <cell r="J221">
            <v>35815</v>
          </cell>
          <cell r="K221">
            <v>35815</v>
          </cell>
          <cell r="L221" t="str">
            <v>GNA</v>
          </cell>
          <cell r="M221">
            <v>33.662999999999997</v>
          </cell>
          <cell r="N221">
            <v>21115</v>
          </cell>
          <cell r="O221">
            <v>38404</v>
          </cell>
          <cell r="P221" t="str">
            <v>20</v>
          </cell>
          <cell r="Q221" t="str">
            <v>N</v>
          </cell>
          <cell r="R221">
            <v>0</v>
          </cell>
          <cell r="S221">
            <v>0</v>
          </cell>
          <cell r="T221" t="str">
            <v>NonEx</v>
          </cell>
          <cell r="U221" t="str">
            <v>SSC</v>
          </cell>
          <cell r="V221" t="str">
            <v>NonEx</v>
          </cell>
        </row>
        <row r="222">
          <cell r="B222">
            <v>319062</v>
          </cell>
          <cell r="C222" t="str">
            <v>5100060</v>
          </cell>
          <cell r="D222" t="str">
            <v>CASTRO, ALEJANDRA</v>
          </cell>
          <cell r="E222" t="str">
            <v>CSREP2</v>
          </cell>
          <cell r="F222" t="str">
            <v>Customer Service Rep II</v>
          </cell>
          <cell r="G222" t="str">
            <v>4</v>
          </cell>
          <cell r="H222" t="str">
            <v>350CLR</v>
          </cell>
          <cell r="I222">
            <v>35898</v>
          </cell>
          <cell r="J222">
            <v>1</v>
          </cell>
          <cell r="K222">
            <v>35898</v>
          </cell>
          <cell r="L222" t="str">
            <v>COM</v>
          </cell>
          <cell r="M222">
            <v>29.704999999999998</v>
          </cell>
          <cell r="N222">
            <v>26108</v>
          </cell>
          <cell r="O222">
            <v>38404</v>
          </cell>
          <cell r="P222">
            <v>0</v>
          </cell>
          <cell r="Q222" t="str">
            <v>N</v>
          </cell>
          <cell r="R222">
            <v>0</v>
          </cell>
          <cell r="S222">
            <v>0</v>
          </cell>
          <cell r="T222" t="str">
            <v>350CLR</v>
          </cell>
          <cell r="U222" t="str">
            <v>SSC</v>
          </cell>
          <cell r="V222" t="str">
            <v>350CLR</v>
          </cell>
        </row>
        <row r="223">
          <cell r="B223">
            <v>322827</v>
          </cell>
          <cell r="C223" t="str">
            <v>5100041</v>
          </cell>
          <cell r="D223" t="str">
            <v>VERA, GILBERTO</v>
          </cell>
          <cell r="E223" t="str">
            <v>DRIVER</v>
          </cell>
          <cell r="F223" t="str">
            <v>Driver</v>
          </cell>
          <cell r="G223" t="str">
            <v>3</v>
          </cell>
          <cell r="H223" t="str">
            <v>350S</v>
          </cell>
          <cell r="I223">
            <v>35919</v>
          </cell>
          <cell r="J223">
            <v>1</v>
          </cell>
          <cell r="K223">
            <v>35919</v>
          </cell>
          <cell r="L223" t="str">
            <v>FLD</v>
          </cell>
          <cell r="M223">
            <v>42.23</v>
          </cell>
          <cell r="N223">
            <v>22746</v>
          </cell>
          <cell r="O223">
            <v>41380</v>
          </cell>
          <cell r="P223">
            <v>0</v>
          </cell>
          <cell r="Q223" t="str">
            <v>N</v>
          </cell>
          <cell r="R223">
            <v>0</v>
          </cell>
          <cell r="S223">
            <v>0</v>
          </cell>
          <cell r="T223" t="str">
            <v>Driver - Reg.</v>
          </cell>
          <cell r="U223" t="str">
            <v>SSC</v>
          </cell>
          <cell r="V223" t="str">
            <v>350S</v>
          </cell>
        </row>
        <row r="224">
          <cell r="B224">
            <v>325411</v>
          </cell>
          <cell r="C224" t="str">
            <v>5100015</v>
          </cell>
          <cell r="D224" t="str">
            <v>NARDI, MICHAEL A.</v>
          </cell>
          <cell r="E224" t="str">
            <v>DRIVER</v>
          </cell>
          <cell r="F224" t="str">
            <v>Driver</v>
          </cell>
          <cell r="G224" t="str">
            <v>3</v>
          </cell>
          <cell r="H224" t="str">
            <v>350S</v>
          </cell>
          <cell r="I224">
            <v>35933</v>
          </cell>
          <cell r="J224">
            <v>1</v>
          </cell>
          <cell r="K224">
            <v>35933</v>
          </cell>
          <cell r="L224" t="str">
            <v>DSP</v>
          </cell>
          <cell r="M224">
            <v>42.23</v>
          </cell>
          <cell r="N224">
            <v>26924</v>
          </cell>
          <cell r="O224">
            <v>39239</v>
          </cell>
          <cell r="P224">
            <v>0</v>
          </cell>
          <cell r="Q224" t="str">
            <v>N</v>
          </cell>
          <cell r="R224">
            <v>0</v>
          </cell>
          <cell r="S224">
            <v>0</v>
          </cell>
          <cell r="T224" t="str">
            <v>Driver - Reg.</v>
          </cell>
          <cell r="U224" t="str">
            <v>SSC</v>
          </cell>
          <cell r="V224" t="str">
            <v>350S</v>
          </cell>
        </row>
        <row r="225">
          <cell r="B225">
            <v>97800</v>
          </cell>
          <cell r="C225" t="str">
            <v>5100014</v>
          </cell>
          <cell r="D225" t="str">
            <v>AGREDANO, ENHILBERTO</v>
          </cell>
          <cell r="E225" t="str">
            <v>FTSTC3</v>
          </cell>
          <cell r="F225" t="str">
            <v>Driver - Fantastic 3</v>
          </cell>
          <cell r="G225" t="str">
            <v>3</v>
          </cell>
          <cell r="H225" t="str">
            <v>350S</v>
          </cell>
          <cell r="I225">
            <v>35249</v>
          </cell>
          <cell r="J225">
            <v>35401</v>
          </cell>
          <cell r="K225">
            <v>35938</v>
          </cell>
          <cell r="L225" t="str">
            <v>DSP</v>
          </cell>
          <cell r="M225">
            <v>42.23</v>
          </cell>
          <cell r="N225">
            <v>26643</v>
          </cell>
          <cell r="O225">
            <v>658179</v>
          </cell>
          <cell r="P225">
            <v>0</v>
          </cell>
          <cell r="Q225" t="str">
            <v>N</v>
          </cell>
          <cell r="R225">
            <v>0</v>
          </cell>
          <cell r="S225">
            <v>0</v>
          </cell>
          <cell r="T225" t="str">
            <v>Driver - Lead</v>
          </cell>
          <cell r="U225" t="str">
            <v>SSC</v>
          </cell>
          <cell r="V225" t="str">
            <v>350S</v>
          </cell>
        </row>
        <row r="226">
          <cell r="B226">
            <v>326473</v>
          </cell>
          <cell r="C226" t="str">
            <v>5100014</v>
          </cell>
          <cell r="D226" t="str">
            <v>COOLEY, CHARLES</v>
          </cell>
          <cell r="E226" t="str">
            <v>FTSTC3</v>
          </cell>
          <cell r="F226" t="str">
            <v>Driver - Fantastic 3</v>
          </cell>
          <cell r="G226" t="str">
            <v>3</v>
          </cell>
          <cell r="H226" t="str">
            <v>350S</v>
          </cell>
          <cell r="I226">
            <v>35947</v>
          </cell>
          <cell r="J226">
            <v>1</v>
          </cell>
          <cell r="K226">
            <v>35947</v>
          </cell>
          <cell r="L226" t="str">
            <v>DSP</v>
          </cell>
          <cell r="M226">
            <v>42.23</v>
          </cell>
          <cell r="N226">
            <v>26636</v>
          </cell>
          <cell r="O226">
            <v>627137</v>
          </cell>
          <cell r="P226">
            <v>0</v>
          </cell>
          <cell r="Q226" t="str">
            <v>N</v>
          </cell>
          <cell r="R226">
            <v>0</v>
          </cell>
          <cell r="S226">
            <v>0</v>
          </cell>
          <cell r="T226" t="str">
            <v>Driver - Lead</v>
          </cell>
          <cell r="U226" t="str">
            <v>SSC</v>
          </cell>
          <cell r="V226" t="str">
            <v>350S</v>
          </cell>
        </row>
        <row r="227">
          <cell r="B227">
            <v>329383</v>
          </cell>
          <cell r="C227" t="str">
            <v>5100510</v>
          </cell>
          <cell r="D227" t="str">
            <v>BOYER, JERRY L.</v>
          </cell>
          <cell r="E227" t="str">
            <v>TGSHP</v>
          </cell>
          <cell r="F227" t="str">
            <v>Shop Person</v>
          </cell>
          <cell r="G227" t="str">
            <v>3</v>
          </cell>
          <cell r="H227" t="str">
            <v>350S</v>
          </cell>
          <cell r="I227">
            <v>35961</v>
          </cell>
          <cell r="J227">
            <v>1</v>
          </cell>
          <cell r="K227">
            <v>35961</v>
          </cell>
          <cell r="L227" t="str">
            <v>SH2</v>
          </cell>
          <cell r="M227">
            <v>40.540999999999997</v>
          </cell>
          <cell r="N227">
            <v>22970</v>
          </cell>
          <cell r="O227">
            <v>58755</v>
          </cell>
          <cell r="P227">
            <v>0</v>
          </cell>
          <cell r="Q227" t="str">
            <v>N</v>
          </cell>
          <cell r="R227">
            <v>0</v>
          </cell>
          <cell r="S227">
            <v>0</v>
          </cell>
          <cell r="T227" t="str">
            <v>350S</v>
          </cell>
          <cell r="U227" t="str">
            <v>SSC</v>
          </cell>
          <cell r="V227" t="str">
            <v>350S</v>
          </cell>
        </row>
        <row r="228">
          <cell r="B228">
            <v>329789</v>
          </cell>
          <cell r="C228" t="str">
            <v>5100015</v>
          </cell>
          <cell r="D228" t="str">
            <v>HUDSON, ORLANDO N.</v>
          </cell>
          <cell r="E228" t="str">
            <v>DRIVER</v>
          </cell>
          <cell r="F228" t="str">
            <v>Driver</v>
          </cell>
          <cell r="G228" t="str">
            <v>3</v>
          </cell>
          <cell r="H228" t="str">
            <v>350S</v>
          </cell>
          <cell r="I228">
            <v>35968</v>
          </cell>
          <cell r="J228">
            <v>1</v>
          </cell>
          <cell r="K228">
            <v>35968</v>
          </cell>
          <cell r="L228" t="str">
            <v>DSP</v>
          </cell>
          <cell r="M228">
            <v>42.23</v>
          </cell>
          <cell r="N228">
            <v>20495</v>
          </cell>
          <cell r="O228">
            <v>48194</v>
          </cell>
          <cell r="P228">
            <v>0</v>
          </cell>
          <cell r="Q228" t="str">
            <v>N</v>
          </cell>
          <cell r="R228">
            <v>0</v>
          </cell>
          <cell r="S228">
            <v>0</v>
          </cell>
          <cell r="T228" t="str">
            <v>Driver - Reg.</v>
          </cell>
          <cell r="U228" t="str">
            <v>SSC</v>
          </cell>
          <cell r="V228" t="str">
            <v>350S</v>
          </cell>
        </row>
        <row r="229">
          <cell r="B229">
            <v>93593</v>
          </cell>
          <cell r="C229" t="str">
            <v>5100510</v>
          </cell>
          <cell r="D229" t="str">
            <v>EVANCHAK, NICHOLAS J.</v>
          </cell>
          <cell r="E229" t="str">
            <v>TGSHP</v>
          </cell>
          <cell r="F229" t="str">
            <v>Shop Person</v>
          </cell>
          <cell r="G229" t="str">
            <v>3</v>
          </cell>
          <cell r="H229" t="str">
            <v>350S</v>
          </cell>
          <cell r="I229">
            <v>34906</v>
          </cell>
          <cell r="J229">
            <v>35058</v>
          </cell>
          <cell r="K229">
            <v>35969</v>
          </cell>
          <cell r="L229" t="str">
            <v>SH2</v>
          </cell>
          <cell r="M229">
            <v>40.540999999999997</v>
          </cell>
          <cell r="N229">
            <v>28352</v>
          </cell>
          <cell r="O229">
            <v>58755</v>
          </cell>
          <cell r="P229">
            <v>0</v>
          </cell>
          <cell r="Q229" t="str">
            <v>N</v>
          </cell>
          <cell r="R229">
            <v>0</v>
          </cell>
          <cell r="S229">
            <v>0</v>
          </cell>
          <cell r="T229" t="str">
            <v>350S</v>
          </cell>
          <cell r="U229" t="str">
            <v>SSC</v>
          </cell>
          <cell r="V229" t="str">
            <v>350S</v>
          </cell>
        </row>
        <row r="230">
          <cell r="B230">
            <v>94553</v>
          </cell>
          <cell r="C230" t="str">
            <v>5100014</v>
          </cell>
          <cell r="D230" t="str">
            <v>DIAZ, MIGUEL</v>
          </cell>
          <cell r="E230" t="str">
            <v>OPSUP</v>
          </cell>
          <cell r="F230" t="str">
            <v>Operations Supvsr</v>
          </cell>
          <cell r="G230" t="str">
            <v>2</v>
          </cell>
          <cell r="H230">
            <v>0</v>
          </cell>
          <cell r="I230">
            <v>34981</v>
          </cell>
          <cell r="J230">
            <v>34981</v>
          </cell>
          <cell r="K230">
            <v>36003</v>
          </cell>
          <cell r="L230">
            <v>0</v>
          </cell>
          <cell r="M230">
            <v>37.726999999999997</v>
          </cell>
          <cell r="N230">
            <v>24459</v>
          </cell>
          <cell r="O230">
            <v>450175</v>
          </cell>
          <cell r="P230" t="str">
            <v>22</v>
          </cell>
          <cell r="Q230" t="str">
            <v>Y</v>
          </cell>
          <cell r="R230">
            <v>0</v>
          </cell>
          <cell r="S230">
            <v>0</v>
          </cell>
          <cell r="T230" t="str">
            <v>NonU</v>
          </cell>
          <cell r="U230" t="str">
            <v>SSC</v>
          </cell>
          <cell r="V230" t="str">
            <v>NonU</v>
          </cell>
        </row>
        <row r="231">
          <cell r="B231">
            <v>100010</v>
          </cell>
          <cell r="C231" t="str">
            <v>5100015</v>
          </cell>
          <cell r="D231" t="str">
            <v>VERA, HECTOR G.</v>
          </cell>
          <cell r="E231" t="str">
            <v>DRIVER</v>
          </cell>
          <cell r="F231" t="str">
            <v>Driver</v>
          </cell>
          <cell r="G231" t="str">
            <v>3</v>
          </cell>
          <cell r="H231" t="str">
            <v>350S</v>
          </cell>
          <cell r="I231">
            <v>35436</v>
          </cell>
          <cell r="J231">
            <v>35436</v>
          </cell>
          <cell r="K231">
            <v>36010</v>
          </cell>
          <cell r="L231" t="str">
            <v>DSP</v>
          </cell>
          <cell r="M231">
            <v>42.23</v>
          </cell>
          <cell r="N231">
            <v>27975</v>
          </cell>
          <cell r="O231">
            <v>83141</v>
          </cell>
          <cell r="P231">
            <v>0</v>
          </cell>
          <cell r="Q231" t="str">
            <v>N</v>
          </cell>
          <cell r="R231">
            <v>0</v>
          </cell>
          <cell r="S231">
            <v>0</v>
          </cell>
          <cell r="T231" t="str">
            <v>Driver - Reg.</v>
          </cell>
          <cell r="U231" t="str">
            <v>SSC</v>
          </cell>
          <cell r="V231" t="str">
            <v>350S</v>
          </cell>
        </row>
        <row r="232">
          <cell r="B232">
            <v>342975</v>
          </cell>
          <cell r="C232" t="str">
            <v>5100510</v>
          </cell>
          <cell r="D232" t="str">
            <v>DELGADILLO-GUZMAN, ALFREDO</v>
          </cell>
          <cell r="E232" t="str">
            <v>FTSTC3</v>
          </cell>
          <cell r="F232" t="str">
            <v>Driver - Fantastic 3</v>
          </cell>
          <cell r="G232" t="str">
            <v>3</v>
          </cell>
          <cell r="H232" t="str">
            <v>350S</v>
          </cell>
          <cell r="I232">
            <v>36031</v>
          </cell>
          <cell r="J232">
            <v>1</v>
          </cell>
          <cell r="K232">
            <v>36031</v>
          </cell>
          <cell r="L232" t="str">
            <v>CRT</v>
          </cell>
          <cell r="M232">
            <v>42.23</v>
          </cell>
          <cell r="N232">
            <v>21562</v>
          </cell>
          <cell r="O232">
            <v>58755</v>
          </cell>
          <cell r="P232">
            <v>0</v>
          </cell>
          <cell r="Q232" t="str">
            <v>N</v>
          </cell>
          <cell r="R232">
            <v>0</v>
          </cell>
          <cell r="S232">
            <v>0</v>
          </cell>
          <cell r="T232" t="str">
            <v>Driver - Lead</v>
          </cell>
          <cell r="U232" t="str">
            <v>SSC</v>
          </cell>
          <cell r="V232" t="str">
            <v>350S</v>
          </cell>
        </row>
        <row r="233">
          <cell r="B233">
            <v>342959</v>
          </cell>
          <cell r="C233" t="str">
            <v>5100015</v>
          </cell>
          <cell r="D233" t="str">
            <v>BOOKER, QUENTIN B.</v>
          </cell>
          <cell r="E233" t="str">
            <v>DRIVER</v>
          </cell>
          <cell r="F233" t="str">
            <v>Driver</v>
          </cell>
          <cell r="G233" t="str">
            <v>3</v>
          </cell>
          <cell r="H233" t="str">
            <v>350S</v>
          </cell>
          <cell r="I233">
            <v>36032</v>
          </cell>
          <cell r="J233">
            <v>1</v>
          </cell>
          <cell r="K233">
            <v>36032</v>
          </cell>
          <cell r="L233" t="str">
            <v>DSP</v>
          </cell>
          <cell r="M233">
            <v>42.23</v>
          </cell>
          <cell r="N233">
            <v>26852</v>
          </cell>
          <cell r="O233">
            <v>83141</v>
          </cell>
          <cell r="P233">
            <v>0</v>
          </cell>
          <cell r="Q233" t="str">
            <v>N</v>
          </cell>
          <cell r="R233">
            <v>0</v>
          </cell>
          <cell r="S233">
            <v>0</v>
          </cell>
          <cell r="T233" t="str">
            <v>Driver - Reg.</v>
          </cell>
          <cell r="U233" t="str">
            <v>SSC</v>
          </cell>
          <cell r="V233" t="str">
            <v>350S</v>
          </cell>
        </row>
        <row r="234">
          <cell r="B234">
            <v>344006</v>
          </cell>
          <cell r="C234" t="str">
            <v>5100015</v>
          </cell>
          <cell r="D234" t="str">
            <v>DELEON, MARTIN G.</v>
          </cell>
          <cell r="E234" t="str">
            <v>DRIVER</v>
          </cell>
          <cell r="F234" t="str">
            <v>Driver</v>
          </cell>
          <cell r="G234" t="str">
            <v>3</v>
          </cell>
          <cell r="H234" t="str">
            <v>350S</v>
          </cell>
          <cell r="I234">
            <v>36038</v>
          </cell>
          <cell r="J234">
            <v>1</v>
          </cell>
          <cell r="K234">
            <v>36038</v>
          </cell>
          <cell r="L234" t="str">
            <v>DSP</v>
          </cell>
          <cell r="M234">
            <v>42.23</v>
          </cell>
          <cell r="N234">
            <v>24554</v>
          </cell>
          <cell r="O234">
            <v>83141</v>
          </cell>
          <cell r="P234">
            <v>0</v>
          </cell>
          <cell r="Q234" t="str">
            <v>N</v>
          </cell>
          <cell r="R234">
            <v>0</v>
          </cell>
          <cell r="S234">
            <v>0</v>
          </cell>
          <cell r="T234" t="str">
            <v>Driver - Reg.</v>
          </cell>
          <cell r="U234" t="str">
            <v>SSC</v>
          </cell>
          <cell r="V234" t="str">
            <v>350S</v>
          </cell>
        </row>
        <row r="235">
          <cell r="B235">
            <v>349270</v>
          </cell>
          <cell r="C235" t="str">
            <v>5100060</v>
          </cell>
          <cell r="D235" t="str">
            <v>MUNOS, EVA G.</v>
          </cell>
          <cell r="E235" t="str">
            <v>CSREP2</v>
          </cell>
          <cell r="F235" t="str">
            <v>Customer Service Rep II</v>
          </cell>
          <cell r="G235" t="str">
            <v>4</v>
          </cell>
          <cell r="H235" t="str">
            <v>350CLR</v>
          </cell>
          <cell r="I235">
            <v>36081</v>
          </cell>
          <cell r="J235">
            <v>1</v>
          </cell>
          <cell r="K235">
            <v>36081</v>
          </cell>
          <cell r="L235" t="str">
            <v>COM</v>
          </cell>
          <cell r="M235">
            <v>29.704999999999998</v>
          </cell>
          <cell r="N235">
            <v>21156</v>
          </cell>
          <cell r="O235">
            <v>38404</v>
          </cell>
          <cell r="P235">
            <v>0</v>
          </cell>
          <cell r="Q235" t="str">
            <v>N</v>
          </cell>
          <cell r="R235">
            <v>0</v>
          </cell>
          <cell r="S235">
            <v>0</v>
          </cell>
          <cell r="T235" t="str">
            <v>350CLR</v>
          </cell>
          <cell r="U235" t="str">
            <v>SSC</v>
          </cell>
          <cell r="V235" t="str">
            <v>350CLR</v>
          </cell>
        </row>
        <row r="236">
          <cell r="B236">
            <v>350705</v>
          </cell>
          <cell r="C236" t="str">
            <v>5100014</v>
          </cell>
          <cell r="D236" t="str">
            <v>GOLDSTEIN, JOSEPH R.</v>
          </cell>
          <cell r="E236" t="str">
            <v>OPSUP</v>
          </cell>
          <cell r="F236" t="str">
            <v>Operations Supvsr</v>
          </cell>
          <cell r="G236" t="str">
            <v>2</v>
          </cell>
          <cell r="H236">
            <v>0</v>
          </cell>
          <cell r="I236">
            <v>36083</v>
          </cell>
          <cell r="J236">
            <v>36083</v>
          </cell>
          <cell r="K236">
            <v>36083</v>
          </cell>
          <cell r="L236">
            <v>0</v>
          </cell>
          <cell r="M236">
            <v>37.558</v>
          </cell>
          <cell r="N236">
            <v>22671</v>
          </cell>
          <cell r="O236">
            <v>83141</v>
          </cell>
          <cell r="P236" t="str">
            <v>22</v>
          </cell>
          <cell r="Q236" t="str">
            <v>Y</v>
          </cell>
          <cell r="R236">
            <v>0</v>
          </cell>
          <cell r="S236">
            <v>0</v>
          </cell>
          <cell r="T236" t="str">
            <v>NonU</v>
          </cell>
          <cell r="U236" t="str">
            <v>SSC</v>
          </cell>
          <cell r="V236" t="str">
            <v>NonU</v>
          </cell>
        </row>
        <row r="237">
          <cell r="B237">
            <v>377810</v>
          </cell>
          <cell r="C237" t="str">
            <v>5100014</v>
          </cell>
          <cell r="D237" t="str">
            <v>SANCHEZ, BERNARDO F.</v>
          </cell>
          <cell r="E237" t="str">
            <v>HELPER</v>
          </cell>
          <cell r="F237" t="str">
            <v>Helper</v>
          </cell>
          <cell r="G237" t="str">
            <v>3</v>
          </cell>
          <cell r="H237" t="str">
            <v>350S</v>
          </cell>
          <cell r="I237">
            <v>36172</v>
          </cell>
          <cell r="J237">
            <v>1</v>
          </cell>
          <cell r="K237">
            <v>36172</v>
          </cell>
          <cell r="L237" t="str">
            <v>DSP</v>
          </cell>
          <cell r="M237">
            <v>40.18</v>
          </cell>
          <cell r="N237">
            <v>27776</v>
          </cell>
          <cell r="O237">
            <v>83141</v>
          </cell>
          <cell r="P237">
            <v>0</v>
          </cell>
          <cell r="Q237" t="str">
            <v>N</v>
          </cell>
          <cell r="R237">
            <v>0</v>
          </cell>
          <cell r="S237">
            <v>0</v>
          </cell>
          <cell r="T237" t="str">
            <v>Helper</v>
          </cell>
          <cell r="U237" t="str">
            <v>SSC</v>
          </cell>
          <cell r="V237" t="str">
            <v>350S</v>
          </cell>
        </row>
        <row r="238">
          <cell r="B238">
            <v>34374</v>
          </cell>
          <cell r="C238" t="str">
            <v>5100510</v>
          </cell>
          <cell r="D238" t="str">
            <v>GADDINI, RONALD A</v>
          </cell>
          <cell r="E238" t="str">
            <v>TGSHP</v>
          </cell>
          <cell r="F238" t="str">
            <v>Shop Person</v>
          </cell>
          <cell r="G238" t="str">
            <v>3</v>
          </cell>
          <cell r="H238" t="str">
            <v>350S</v>
          </cell>
          <cell r="I238">
            <v>30319</v>
          </cell>
          <cell r="J238">
            <v>30471</v>
          </cell>
          <cell r="K238">
            <v>36192</v>
          </cell>
          <cell r="L238" t="str">
            <v>SHP</v>
          </cell>
          <cell r="M238">
            <v>40.540999999999997</v>
          </cell>
          <cell r="N238">
            <v>18492</v>
          </cell>
          <cell r="O238">
            <v>58755</v>
          </cell>
          <cell r="P238">
            <v>0</v>
          </cell>
          <cell r="Q238" t="str">
            <v>N</v>
          </cell>
          <cell r="R238">
            <v>0</v>
          </cell>
          <cell r="S238">
            <v>0</v>
          </cell>
          <cell r="T238" t="str">
            <v>350S</v>
          </cell>
          <cell r="U238" t="str">
            <v>SSC</v>
          </cell>
          <cell r="V238" t="str">
            <v>350S</v>
          </cell>
        </row>
        <row r="239">
          <cell r="B239">
            <v>380066</v>
          </cell>
          <cell r="C239" t="str">
            <v>5100014</v>
          </cell>
          <cell r="D239" t="str">
            <v>SAAVEDRA, DAVID</v>
          </cell>
          <cell r="E239" t="str">
            <v>FTSTC3</v>
          </cell>
          <cell r="F239" t="str">
            <v>Driver - Fantastic 3</v>
          </cell>
          <cell r="G239" t="str">
            <v>3</v>
          </cell>
          <cell r="H239" t="str">
            <v>350S</v>
          </cell>
          <cell r="I239">
            <v>36192</v>
          </cell>
          <cell r="J239">
            <v>1</v>
          </cell>
          <cell r="K239">
            <v>36192</v>
          </cell>
          <cell r="L239" t="str">
            <v>DSP</v>
          </cell>
          <cell r="M239">
            <v>42.23</v>
          </cell>
          <cell r="N239">
            <v>27062</v>
          </cell>
          <cell r="O239">
            <v>93497</v>
          </cell>
          <cell r="P239">
            <v>0</v>
          </cell>
          <cell r="Q239" t="str">
            <v>N</v>
          </cell>
          <cell r="R239">
            <v>0</v>
          </cell>
          <cell r="S239">
            <v>0</v>
          </cell>
          <cell r="T239" t="str">
            <v>Driver - Lead</v>
          </cell>
          <cell r="U239" t="str">
            <v>SSC</v>
          </cell>
          <cell r="V239" t="str">
            <v>350S</v>
          </cell>
        </row>
        <row r="240">
          <cell r="B240">
            <v>385140</v>
          </cell>
          <cell r="C240" t="str">
            <v>5100015</v>
          </cell>
          <cell r="D240" t="str">
            <v>HARRINGTON, MICHAEL J.</v>
          </cell>
          <cell r="E240" t="str">
            <v>DRIVER</v>
          </cell>
          <cell r="F240" t="str">
            <v>Driver</v>
          </cell>
          <cell r="G240" t="str">
            <v>3</v>
          </cell>
          <cell r="H240" t="str">
            <v>350S</v>
          </cell>
          <cell r="I240">
            <v>36199</v>
          </cell>
          <cell r="J240">
            <v>1</v>
          </cell>
          <cell r="K240">
            <v>36199</v>
          </cell>
          <cell r="L240" t="str">
            <v>DSP</v>
          </cell>
          <cell r="M240">
            <v>42.23</v>
          </cell>
          <cell r="N240">
            <v>24913</v>
          </cell>
          <cell r="O240">
            <v>3762393</v>
          </cell>
          <cell r="P240">
            <v>0</v>
          </cell>
          <cell r="Q240" t="str">
            <v>N</v>
          </cell>
          <cell r="R240">
            <v>0</v>
          </cell>
          <cell r="S240">
            <v>0</v>
          </cell>
          <cell r="T240" t="str">
            <v>Driver - Reg.</v>
          </cell>
          <cell r="U240" t="str">
            <v>SSC</v>
          </cell>
          <cell r="V240" t="str">
            <v>350S</v>
          </cell>
        </row>
        <row r="241">
          <cell r="B241">
            <v>388201</v>
          </cell>
          <cell r="C241" t="str">
            <v>5100015</v>
          </cell>
          <cell r="D241" t="str">
            <v>SANCHEZ, CHAD R.</v>
          </cell>
          <cell r="E241" t="str">
            <v>DRIVER</v>
          </cell>
          <cell r="F241" t="str">
            <v>Driver</v>
          </cell>
          <cell r="G241" t="str">
            <v>3</v>
          </cell>
          <cell r="H241" t="str">
            <v>350S</v>
          </cell>
          <cell r="I241">
            <v>36208</v>
          </cell>
          <cell r="J241">
            <v>1</v>
          </cell>
          <cell r="K241">
            <v>36208</v>
          </cell>
          <cell r="L241" t="str">
            <v>DSP</v>
          </cell>
          <cell r="M241">
            <v>42.23</v>
          </cell>
          <cell r="N241">
            <v>26095</v>
          </cell>
          <cell r="O241">
            <v>93497</v>
          </cell>
          <cell r="P241">
            <v>0</v>
          </cell>
          <cell r="Q241" t="str">
            <v>N</v>
          </cell>
          <cell r="R241">
            <v>0</v>
          </cell>
          <cell r="S241">
            <v>0</v>
          </cell>
          <cell r="T241" t="str">
            <v>Driver - Reg.</v>
          </cell>
          <cell r="U241" t="str">
            <v>SSC</v>
          </cell>
          <cell r="V241" t="str">
            <v>350S</v>
          </cell>
        </row>
        <row r="242">
          <cell r="B242">
            <v>393959</v>
          </cell>
          <cell r="C242" t="str">
            <v>5100010</v>
          </cell>
          <cell r="D242" t="str">
            <v>MARTINEZ, TANYA M.</v>
          </cell>
          <cell r="E242" t="str">
            <v>CSREP</v>
          </cell>
          <cell r="F242" t="str">
            <v>Customer Service Rep</v>
          </cell>
          <cell r="G242" t="str">
            <v>4</v>
          </cell>
          <cell r="H242" t="str">
            <v>350CLR</v>
          </cell>
          <cell r="I242">
            <v>36229</v>
          </cell>
          <cell r="J242">
            <v>1</v>
          </cell>
          <cell r="K242">
            <v>36229</v>
          </cell>
          <cell r="L242" t="str">
            <v>OFC</v>
          </cell>
          <cell r="M242">
            <v>29.704999999999998</v>
          </cell>
          <cell r="N242">
            <v>27311</v>
          </cell>
          <cell r="O242">
            <v>627508</v>
          </cell>
          <cell r="P242">
            <v>0</v>
          </cell>
          <cell r="Q242" t="str">
            <v>N</v>
          </cell>
          <cell r="R242">
            <v>0</v>
          </cell>
          <cell r="S242">
            <v>0</v>
          </cell>
          <cell r="T242" t="str">
            <v>350CLR</v>
          </cell>
          <cell r="U242" t="str">
            <v>SSC</v>
          </cell>
          <cell r="V242" t="str">
            <v>350CLR</v>
          </cell>
        </row>
        <row r="243">
          <cell r="B243">
            <v>393975</v>
          </cell>
          <cell r="C243" t="str">
            <v>5100015</v>
          </cell>
          <cell r="D243" t="str">
            <v>LACHAPELLE, MICHAEL J.</v>
          </cell>
          <cell r="E243" t="str">
            <v>DRIVER</v>
          </cell>
          <cell r="F243" t="str">
            <v>Driver</v>
          </cell>
          <cell r="G243" t="str">
            <v>3</v>
          </cell>
          <cell r="H243" t="str">
            <v>350S</v>
          </cell>
          <cell r="I243">
            <v>36229</v>
          </cell>
          <cell r="J243">
            <v>1</v>
          </cell>
          <cell r="K243">
            <v>36229</v>
          </cell>
          <cell r="L243" t="str">
            <v>DSP</v>
          </cell>
          <cell r="M243">
            <v>42.23</v>
          </cell>
          <cell r="N243">
            <v>26929</v>
          </cell>
          <cell r="O243">
            <v>627137</v>
          </cell>
          <cell r="P243">
            <v>0</v>
          </cell>
          <cell r="Q243" t="str">
            <v>N</v>
          </cell>
          <cell r="R243">
            <v>0</v>
          </cell>
          <cell r="S243">
            <v>0</v>
          </cell>
          <cell r="T243" t="str">
            <v>Driver - Reg.</v>
          </cell>
          <cell r="U243" t="str">
            <v>SSC</v>
          </cell>
          <cell r="V243" t="str">
            <v>350S</v>
          </cell>
        </row>
        <row r="244">
          <cell r="B244">
            <v>404558</v>
          </cell>
          <cell r="C244" t="str">
            <v>5100010</v>
          </cell>
          <cell r="D244" t="str">
            <v>WILLIAMS, PHELECIA</v>
          </cell>
          <cell r="E244" t="str">
            <v>CSREP</v>
          </cell>
          <cell r="F244" t="str">
            <v>Customer Service Rep</v>
          </cell>
          <cell r="G244" t="str">
            <v>4</v>
          </cell>
          <cell r="H244" t="str">
            <v>350CLR</v>
          </cell>
          <cell r="I244">
            <v>36276</v>
          </cell>
          <cell r="J244">
            <v>1</v>
          </cell>
          <cell r="K244">
            <v>36276</v>
          </cell>
          <cell r="L244" t="str">
            <v>OFC</v>
          </cell>
          <cell r="M244">
            <v>29.704999999999998</v>
          </cell>
          <cell r="N244">
            <v>23777</v>
          </cell>
          <cell r="O244">
            <v>627508</v>
          </cell>
          <cell r="P244">
            <v>0</v>
          </cell>
          <cell r="Q244" t="str">
            <v>N</v>
          </cell>
          <cell r="R244">
            <v>0</v>
          </cell>
          <cell r="S244">
            <v>0</v>
          </cell>
          <cell r="T244" t="str">
            <v>350CLR</v>
          </cell>
          <cell r="U244" t="str">
            <v>SSC</v>
          </cell>
          <cell r="V244" t="str">
            <v>350CLR</v>
          </cell>
        </row>
        <row r="245">
          <cell r="B245">
            <v>412460</v>
          </cell>
          <cell r="C245" t="str">
            <v>5100510</v>
          </cell>
          <cell r="D245" t="str">
            <v>CHANG, ANDREW K.</v>
          </cell>
          <cell r="E245" t="str">
            <v>MECH</v>
          </cell>
          <cell r="F245" t="str">
            <v>Mechanic</v>
          </cell>
          <cell r="G245" t="str">
            <v>3</v>
          </cell>
          <cell r="H245" t="str">
            <v>350S</v>
          </cell>
          <cell r="I245">
            <v>36313</v>
          </cell>
          <cell r="J245">
            <v>1</v>
          </cell>
          <cell r="K245">
            <v>36313</v>
          </cell>
          <cell r="L245" t="str">
            <v>SHP</v>
          </cell>
          <cell r="M245">
            <v>43.26</v>
          </cell>
          <cell r="N245">
            <v>19203</v>
          </cell>
          <cell r="O245">
            <v>58755</v>
          </cell>
          <cell r="P245">
            <v>0</v>
          </cell>
          <cell r="Q245" t="str">
            <v>N</v>
          </cell>
          <cell r="R245">
            <v>0</v>
          </cell>
          <cell r="S245">
            <v>0</v>
          </cell>
          <cell r="T245" t="str">
            <v>350S</v>
          </cell>
          <cell r="U245" t="str">
            <v>SSC</v>
          </cell>
          <cell r="V245" t="str">
            <v>350S</v>
          </cell>
        </row>
        <row r="246">
          <cell r="B246">
            <v>413139</v>
          </cell>
          <cell r="C246" t="str">
            <v>5100014</v>
          </cell>
          <cell r="D246" t="str">
            <v>CANEDO, JESUS</v>
          </cell>
          <cell r="E246" t="str">
            <v>HELPER</v>
          </cell>
          <cell r="F246" t="str">
            <v>Helper</v>
          </cell>
          <cell r="G246" t="str">
            <v>3</v>
          </cell>
          <cell r="H246" t="str">
            <v>350S</v>
          </cell>
          <cell r="I246">
            <v>36319</v>
          </cell>
          <cell r="J246">
            <v>1</v>
          </cell>
          <cell r="K246">
            <v>36319</v>
          </cell>
          <cell r="L246" t="str">
            <v>DSP</v>
          </cell>
          <cell r="M246">
            <v>40.18</v>
          </cell>
          <cell r="N246">
            <v>27073</v>
          </cell>
          <cell r="O246">
            <v>93497</v>
          </cell>
          <cell r="P246">
            <v>0</v>
          </cell>
          <cell r="Q246" t="str">
            <v>N</v>
          </cell>
          <cell r="R246">
            <v>0</v>
          </cell>
          <cell r="S246">
            <v>0</v>
          </cell>
          <cell r="T246" t="str">
            <v>Helper</v>
          </cell>
          <cell r="U246" t="str">
            <v>SSC</v>
          </cell>
          <cell r="V246" t="str">
            <v>350S</v>
          </cell>
        </row>
        <row r="247">
          <cell r="B247">
            <v>414220</v>
          </cell>
          <cell r="C247" t="str">
            <v>5100510</v>
          </cell>
          <cell r="D247" t="str">
            <v>SEVIERI, PAUL F.</v>
          </cell>
          <cell r="E247" t="str">
            <v>MECH</v>
          </cell>
          <cell r="F247" t="str">
            <v>Mechanic</v>
          </cell>
          <cell r="G247" t="str">
            <v>3</v>
          </cell>
          <cell r="H247" t="str">
            <v>350S</v>
          </cell>
          <cell r="I247">
            <v>36332</v>
          </cell>
          <cell r="J247">
            <v>1</v>
          </cell>
          <cell r="K247">
            <v>36332</v>
          </cell>
          <cell r="L247" t="str">
            <v>SH2</v>
          </cell>
          <cell r="M247">
            <v>43.26</v>
          </cell>
          <cell r="N247">
            <v>24124</v>
          </cell>
          <cell r="O247">
            <v>58755</v>
          </cell>
          <cell r="P247">
            <v>0</v>
          </cell>
          <cell r="Q247" t="str">
            <v>N</v>
          </cell>
          <cell r="R247">
            <v>0</v>
          </cell>
          <cell r="S247">
            <v>0</v>
          </cell>
          <cell r="T247" t="str">
            <v>350S</v>
          </cell>
          <cell r="U247" t="str">
            <v>SSC</v>
          </cell>
          <cell r="V247" t="str">
            <v>350S</v>
          </cell>
        </row>
        <row r="248">
          <cell r="B248">
            <v>417471</v>
          </cell>
          <cell r="C248" t="str">
            <v>5100014</v>
          </cell>
          <cell r="D248" t="str">
            <v>FLORES, HECTOR A.</v>
          </cell>
          <cell r="E248" t="str">
            <v>FTSTC3</v>
          </cell>
          <cell r="F248" t="str">
            <v>Driver - Fantastic 3</v>
          </cell>
          <cell r="G248" t="str">
            <v>3</v>
          </cell>
          <cell r="H248" t="str">
            <v>350S</v>
          </cell>
          <cell r="I248">
            <v>36350</v>
          </cell>
          <cell r="J248">
            <v>1</v>
          </cell>
          <cell r="K248">
            <v>36350</v>
          </cell>
          <cell r="L248" t="str">
            <v>DSP</v>
          </cell>
          <cell r="M248">
            <v>42.23</v>
          </cell>
          <cell r="N248">
            <v>25700</v>
          </cell>
          <cell r="O248">
            <v>93497</v>
          </cell>
          <cell r="P248">
            <v>0</v>
          </cell>
          <cell r="Q248" t="str">
            <v>N</v>
          </cell>
          <cell r="R248">
            <v>0</v>
          </cell>
          <cell r="S248">
            <v>0</v>
          </cell>
          <cell r="T248" t="str">
            <v>Driver - Lead</v>
          </cell>
          <cell r="U248" t="str">
            <v>SSC</v>
          </cell>
          <cell r="V248" t="str">
            <v>350S</v>
          </cell>
        </row>
        <row r="249">
          <cell r="B249">
            <v>417498</v>
          </cell>
          <cell r="C249" t="str">
            <v>5100510</v>
          </cell>
          <cell r="D249" t="str">
            <v>CHAMPAGNE, RENIE J.</v>
          </cell>
          <cell r="E249" t="str">
            <v>MECH</v>
          </cell>
          <cell r="F249" t="str">
            <v>Mechanic</v>
          </cell>
          <cell r="G249" t="str">
            <v>3</v>
          </cell>
          <cell r="H249" t="str">
            <v>350S</v>
          </cell>
          <cell r="I249">
            <v>36353</v>
          </cell>
          <cell r="J249">
            <v>1</v>
          </cell>
          <cell r="K249">
            <v>36353</v>
          </cell>
          <cell r="L249" t="str">
            <v>SHP</v>
          </cell>
          <cell r="M249">
            <v>43.26</v>
          </cell>
          <cell r="N249">
            <v>18406</v>
          </cell>
          <cell r="O249">
            <v>58755</v>
          </cell>
          <cell r="P249">
            <v>0</v>
          </cell>
          <cell r="Q249" t="str">
            <v>N</v>
          </cell>
          <cell r="R249">
            <v>0</v>
          </cell>
          <cell r="S249">
            <v>0</v>
          </cell>
          <cell r="T249" t="str">
            <v>350S</v>
          </cell>
          <cell r="U249" t="str">
            <v>SSC</v>
          </cell>
          <cell r="V249" t="str">
            <v>350S</v>
          </cell>
        </row>
        <row r="250">
          <cell r="B250">
            <v>425316</v>
          </cell>
          <cell r="C250" t="str">
            <v>5100015</v>
          </cell>
          <cell r="D250" t="str">
            <v>GONZALEZ, EUGENIO</v>
          </cell>
          <cell r="E250" t="str">
            <v>DRIVER</v>
          </cell>
          <cell r="F250" t="str">
            <v>Driver</v>
          </cell>
          <cell r="G250" t="str">
            <v>3</v>
          </cell>
          <cell r="H250" t="str">
            <v>350S</v>
          </cell>
          <cell r="I250">
            <v>36374</v>
          </cell>
          <cell r="J250">
            <v>1</v>
          </cell>
          <cell r="K250">
            <v>36374</v>
          </cell>
          <cell r="L250" t="str">
            <v>DSP</v>
          </cell>
          <cell r="M250">
            <v>42.23</v>
          </cell>
          <cell r="N250">
            <v>26107</v>
          </cell>
          <cell r="O250">
            <v>38228</v>
          </cell>
          <cell r="P250">
            <v>0</v>
          </cell>
          <cell r="Q250" t="str">
            <v>N</v>
          </cell>
          <cell r="R250">
            <v>0</v>
          </cell>
          <cell r="S250">
            <v>0</v>
          </cell>
          <cell r="T250" t="str">
            <v>Driver - Reg.</v>
          </cell>
          <cell r="U250" t="str">
            <v>SSC</v>
          </cell>
          <cell r="V250" t="str">
            <v>350S</v>
          </cell>
        </row>
        <row r="251">
          <cell r="B251">
            <v>426642</v>
          </cell>
          <cell r="C251" t="str">
            <v>5100014</v>
          </cell>
          <cell r="D251" t="str">
            <v>REGALADO, DANIEL C.</v>
          </cell>
          <cell r="E251" t="str">
            <v>FTSTC3</v>
          </cell>
          <cell r="F251" t="str">
            <v>Driver - Fantastic 3</v>
          </cell>
          <cell r="G251" t="str">
            <v>3</v>
          </cell>
          <cell r="H251" t="str">
            <v>350S</v>
          </cell>
          <cell r="I251">
            <v>36381</v>
          </cell>
          <cell r="J251">
            <v>1</v>
          </cell>
          <cell r="K251">
            <v>36381</v>
          </cell>
          <cell r="L251" t="str">
            <v>DSP</v>
          </cell>
          <cell r="M251">
            <v>42.23</v>
          </cell>
          <cell r="N251">
            <v>22178</v>
          </cell>
          <cell r="O251">
            <v>93497</v>
          </cell>
          <cell r="P251">
            <v>0</v>
          </cell>
          <cell r="Q251" t="str">
            <v>N</v>
          </cell>
          <cell r="R251">
            <v>0</v>
          </cell>
          <cell r="S251">
            <v>0</v>
          </cell>
          <cell r="T251" t="str">
            <v>Driver - Lead</v>
          </cell>
          <cell r="U251" t="str">
            <v>SSC</v>
          </cell>
          <cell r="V251" t="str">
            <v>350S</v>
          </cell>
        </row>
        <row r="252">
          <cell r="B252">
            <v>436621</v>
          </cell>
          <cell r="C252" t="str">
            <v>5100014</v>
          </cell>
          <cell r="D252" t="str">
            <v>SMITH, KENSEY A.</v>
          </cell>
          <cell r="E252" t="str">
            <v>FTSTC3</v>
          </cell>
          <cell r="F252" t="str">
            <v>Driver - Fantastic 3</v>
          </cell>
          <cell r="G252" t="str">
            <v>3</v>
          </cell>
          <cell r="H252" t="str">
            <v>350S</v>
          </cell>
          <cell r="I252">
            <v>36416</v>
          </cell>
          <cell r="J252">
            <v>1</v>
          </cell>
          <cell r="K252">
            <v>36416</v>
          </cell>
          <cell r="L252" t="str">
            <v>DSP</v>
          </cell>
          <cell r="M252">
            <v>42.23</v>
          </cell>
          <cell r="N252">
            <v>24645</v>
          </cell>
          <cell r="O252">
            <v>93497</v>
          </cell>
          <cell r="P252">
            <v>0</v>
          </cell>
          <cell r="Q252" t="str">
            <v>N</v>
          </cell>
          <cell r="R252">
            <v>0</v>
          </cell>
          <cell r="S252">
            <v>0</v>
          </cell>
          <cell r="T252" t="str">
            <v>Driver - Lead</v>
          </cell>
          <cell r="U252" t="str">
            <v>SSC</v>
          </cell>
          <cell r="V252" t="str">
            <v>350S</v>
          </cell>
        </row>
        <row r="253">
          <cell r="B253">
            <v>444234</v>
          </cell>
          <cell r="C253" t="str">
            <v>5100014</v>
          </cell>
          <cell r="D253" t="str">
            <v>BELASKI, WAYNE L.</v>
          </cell>
          <cell r="E253" t="str">
            <v>FTSTC3</v>
          </cell>
          <cell r="F253" t="str">
            <v>Driver - Fantastic 3</v>
          </cell>
          <cell r="G253" t="str">
            <v>3</v>
          </cell>
          <cell r="H253" t="str">
            <v>350S</v>
          </cell>
          <cell r="I253">
            <v>36430</v>
          </cell>
          <cell r="J253">
            <v>1</v>
          </cell>
          <cell r="K253">
            <v>36430</v>
          </cell>
          <cell r="L253" t="str">
            <v>DSP</v>
          </cell>
          <cell r="M253">
            <v>42.23</v>
          </cell>
          <cell r="N253">
            <v>23993</v>
          </cell>
          <cell r="O253">
            <v>93497</v>
          </cell>
          <cell r="P253">
            <v>0</v>
          </cell>
          <cell r="Q253" t="str">
            <v>N</v>
          </cell>
          <cell r="R253">
            <v>0</v>
          </cell>
          <cell r="S253">
            <v>0</v>
          </cell>
          <cell r="T253" t="str">
            <v>Driver - Lead</v>
          </cell>
          <cell r="U253" t="str">
            <v>SSC</v>
          </cell>
          <cell r="V253" t="str">
            <v>350S</v>
          </cell>
        </row>
        <row r="254">
          <cell r="B254">
            <v>450175</v>
          </cell>
          <cell r="C254" t="str">
            <v>5100014</v>
          </cell>
          <cell r="D254" t="str">
            <v>SAN FILIPPO, JOHN H.</v>
          </cell>
          <cell r="E254" t="str">
            <v>OPSUP</v>
          </cell>
          <cell r="F254" t="str">
            <v>Operations Supvsr</v>
          </cell>
          <cell r="G254" t="str">
            <v>2</v>
          </cell>
          <cell r="H254">
            <v>0</v>
          </cell>
          <cell r="I254">
            <v>36458</v>
          </cell>
          <cell r="J254">
            <v>36458</v>
          </cell>
          <cell r="K254">
            <v>36458</v>
          </cell>
          <cell r="L254">
            <v>0</v>
          </cell>
          <cell r="M254">
            <v>41.091000000000001</v>
          </cell>
          <cell r="N254">
            <v>19939</v>
          </cell>
          <cell r="O254">
            <v>627137</v>
          </cell>
          <cell r="P254" t="str">
            <v>22</v>
          </cell>
          <cell r="Q254" t="str">
            <v>Y</v>
          </cell>
          <cell r="R254">
            <v>0</v>
          </cell>
          <cell r="S254">
            <v>0</v>
          </cell>
          <cell r="T254" t="str">
            <v>NonU</v>
          </cell>
          <cell r="U254" t="str">
            <v>SSC</v>
          </cell>
          <cell r="V254" t="str">
            <v>NonU</v>
          </cell>
        </row>
        <row r="255">
          <cell r="B255">
            <v>459090</v>
          </cell>
          <cell r="C255" t="str">
            <v>5100014</v>
          </cell>
          <cell r="D255" t="str">
            <v>BROOME, ERYKE M.</v>
          </cell>
          <cell r="E255" t="str">
            <v>FTSTC3</v>
          </cell>
          <cell r="F255" t="str">
            <v>Driver - Fantastic 3</v>
          </cell>
          <cell r="G255" t="str">
            <v>3</v>
          </cell>
          <cell r="H255" t="str">
            <v>350S</v>
          </cell>
          <cell r="I255">
            <v>36481</v>
          </cell>
          <cell r="J255">
            <v>1</v>
          </cell>
          <cell r="K255">
            <v>36481</v>
          </cell>
          <cell r="L255" t="str">
            <v>DSP</v>
          </cell>
          <cell r="M255">
            <v>42.23</v>
          </cell>
          <cell r="N255">
            <v>24432</v>
          </cell>
          <cell r="O255">
            <v>93497</v>
          </cell>
          <cell r="P255">
            <v>0</v>
          </cell>
          <cell r="Q255" t="str">
            <v>N</v>
          </cell>
          <cell r="R255">
            <v>0</v>
          </cell>
          <cell r="S255">
            <v>0</v>
          </cell>
          <cell r="T255" t="str">
            <v>Driver - Lead</v>
          </cell>
          <cell r="U255" t="str">
            <v>SSC</v>
          </cell>
          <cell r="V255" t="str">
            <v>350S</v>
          </cell>
        </row>
        <row r="256">
          <cell r="B256">
            <v>459111</v>
          </cell>
          <cell r="C256" t="str">
            <v>5100015</v>
          </cell>
          <cell r="D256" t="str">
            <v>GRAY, GERARD G.</v>
          </cell>
          <cell r="E256" t="str">
            <v>DRIVER</v>
          </cell>
          <cell r="F256" t="str">
            <v>Driver</v>
          </cell>
          <cell r="G256" t="str">
            <v>3</v>
          </cell>
          <cell r="H256" t="str">
            <v>350S</v>
          </cell>
          <cell r="I256">
            <v>36486</v>
          </cell>
          <cell r="J256">
            <v>1</v>
          </cell>
          <cell r="K256">
            <v>36486</v>
          </cell>
          <cell r="L256" t="str">
            <v>DSP</v>
          </cell>
          <cell r="M256">
            <v>42.23</v>
          </cell>
          <cell r="N256">
            <v>26903</v>
          </cell>
          <cell r="O256">
            <v>38228</v>
          </cell>
          <cell r="P256">
            <v>0</v>
          </cell>
          <cell r="Q256" t="str">
            <v>N</v>
          </cell>
          <cell r="R256">
            <v>0</v>
          </cell>
          <cell r="S256">
            <v>0</v>
          </cell>
          <cell r="T256" t="str">
            <v>Driver - Reg.</v>
          </cell>
          <cell r="U256" t="str">
            <v>SSC</v>
          </cell>
          <cell r="V256" t="str">
            <v>350S</v>
          </cell>
        </row>
        <row r="257">
          <cell r="B257">
            <v>461042</v>
          </cell>
          <cell r="C257" t="str">
            <v>5100014</v>
          </cell>
          <cell r="D257" t="str">
            <v>KNOX, SHAVAZ Y.</v>
          </cell>
          <cell r="E257" t="str">
            <v>FTSTC3</v>
          </cell>
          <cell r="F257" t="str">
            <v>Driver - Fantastic 3</v>
          </cell>
          <cell r="G257" t="str">
            <v>3</v>
          </cell>
          <cell r="H257" t="str">
            <v>350S</v>
          </cell>
          <cell r="I257">
            <v>36500</v>
          </cell>
          <cell r="J257">
            <v>1</v>
          </cell>
          <cell r="K257">
            <v>36500</v>
          </cell>
          <cell r="L257" t="str">
            <v>DSP</v>
          </cell>
          <cell r="M257">
            <v>42.23</v>
          </cell>
          <cell r="N257">
            <v>25930</v>
          </cell>
          <cell r="O257">
            <v>93497</v>
          </cell>
          <cell r="P257">
            <v>0</v>
          </cell>
          <cell r="Q257" t="str">
            <v>N</v>
          </cell>
          <cell r="R257">
            <v>0</v>
          </cell>
          <cell r="S257">
            <v>0</v>
          </cell>
          <cell r="T257" t="str">
            <v>Driver - Lead</v>
          </cell>
          <cell r="U257" t="str">
            <v>SSC</v>
          </cell>
          <cell r="V257" t="str">
            <v>350S</v>
          </cell>
        </row>
        <row r="258">
          <cell r="B258">
            <v>465254</v>
          </cell>
          <cell r="C258" t="str">
            <v>5100015</v>
          </cell>
          <cell r="D258" t="str">
            <v>REYNOSO, MOISES</v>
          </cell>
          <cell r="E258" t="str">
            <v>DRIVER</v>
          </cell>
          <cell r="F258" t="str">
            <v>Driver</v>
          </cell>
          <cell r="G258" t="str">
            <v>3</v>
          </cell>
          <cell r="H258" t="str">
            <v>350S</v>
          </cell>
          <cell r="I258">
            <v>36523</v>
          </cell>
          <cell r="J258">
            <v>1</v>
          </cell>
          <cell r="K258">
            <v>36523</v>
          </cell>
          <cell r="L258" t="str">
            <v>DSP</v>
          </cell>
          <cell r="M258">
            <v>42.23</v>
          </cell>
          <cell r="N258">
            <v>27337</v>
          </cell>
          <cell r="O258">
            <v>627137</v>
          </cell>
          <cell r="P258">
            <v>0</v>
          </cell>
          <cell r="Q258" t="str">
            <v>N</v>
          </cell>
          <cell r="R258">
            <v>0</v>
          </cell>
          <cell r="S258">
            <v>0</v>
          </cell>
          <cell r="T258" t="str">
            <v>Driver - Reg.</v>
          </cell>
          <cell r="U258" t="str">
            <v>SSC</v>
          </cell>
          <cell r="V258" t="str">
            <v>350S</v>
          </cell>
        </row>
        <row r="259">
          <cell r="B259">
            <v>465529</v>
          </cell>
          <cell r="C259" t="str">
            <v>5100812</v>
          </cell>
          <cell r="D259" t="str">
            <v>HOUSE, JEFFERY D.</v>
          </cell>
          <cell r="E259" t="str">
            <v>SFTMG</v>
          </cell>
          <cell r="F259" t="str">
            <v>Safety Manager</v>
          </cell>
          <cell r="G259" t="str">
            <v>2</v>
          </cell>
          <cell r="H259">
            <v>0</v>
          </cell>
          <cell r="I259">
            <v>36528</v>
          </cell>
          <cell r="J259">
            <v>36528</v>
          </cell>
          <cell r="K259">
            <v>36528</v>
          </cell>
          <cell r="L259">
            <v>0</v>
          </cell>
          <cell r="M259">
            <v>47.185000000000002</v>
          </cell>
          <cell r="N259">
            <v>22298</v>
          </cell>
          <cell r="O259">
            <v>33890</v>
          </cell>
          <cell r="P259" t="str">
            <v>23</v>
          </cell>
          <cell r="Q259" t="str">
            <v>Y</v>
          </cell>
          <cell r="R259">
            <v>0</v>
          </cell>
          <cell r="S259">
            <v>0</v>
          </cell>
          <cell r="T259" t="str">
            <v>NonU</v>
          </cell>
          <cell r="U259" t="str">
            <v>SSC</v>
          </cell>
          <cell r="V259" t="str">
            <v>NonU</v>
          </cell>
        </row>
        <row r="260">
          <cell r="B260">
            <v>479541</v>
          </cell>
          <cell r="C260" t="str">
            <v>5100015</v>
          </cell>
          <cell r="D260" t="str">
            <v>GOMEZ, ANTONIO</v>
          </cell>
          <cell r="E260" t="str">
            <v>DRIVER</v>
          </cell>
          <cell r="F260" t="str">
            <v>Driver</v>
          </cell>
          <cell r="G260" t="str">
            <v>3</v>
          </cell>
          <cell r="H260" t="str">
            <v>350S</v>
          </cell>
          <cell r="I260">
            <v>36565</v>
          </cell>
          <cell r="J260">
            <v>1</v>
          </cell>
          <cell r="K260">
            <v>36565</v>
          </cell>
          <cell r="L260" t="str">
            <v>DSP</v>
          </cell>
          <cell r="M260">
            <v>42.23</v>
          </cell>
          <cell r="N260">
            <v>21714</v>
          </cell>
          <cell r="O260">
            <v>38228</v>
          </cell>
          <cell r="P260">
            <v>0</v>
          </cell>
          <cell r="Q260" t="str">
            <v>N</v>
          </cell>
          <cell r="R260">
            <v>0</v>
          </cell>
          <cell r="S260">
            <v>0</v>
          </cell>
          <cell r="T260" t="str">
            <v>Driver - Reg.</v>
          </cell>
          <cell r="U260" t="str">
            <v>SSC</v>
          </cell>
          <cell r="V260" t="str">
            <v>350S</v>
          </cell>
        </row>
        <row r="261">
          <cell r="B261">
            <v>51502</v>
          </cell>
          <cell r="C261" t="str">
            <v>5100510</v>
          </cell>
          <cell r="D261" t="str">
            <v>DEVIS, GUILLERMO R</v>
          </cell>
          <cell r="E261" t="str">
            <v>MECH</v>
          </cell>
          <cell r="F261" t="str">
            <v>Mechanic</v>
          </cell>
          <cell r="G261" t="str">
            <v>3</v>
          </cell>
          <cell r="H261" t="str">
            <v>350S</v>
          </cell>
          <cell r="I261">
            <v>32930</v>
          </cell>
          <cell r="J261">
            <v>33082</v>
          </cell>
          <cell r="K261">
            <v>36570</v>
          </cell>
          <cell r="L261" t="str">
            <v>SH2</v>
          </cell>
          <cell r="M261">
            <v>43.26</v>
          </cell>
          <cell r="N261">
            <v>22545</v>
          </cell>
          <cell r="O261">
            <v>648202</v>
          </cell>
          <cell r="P261">
            <v>0</v>
          </cell>
          <cell r="Q261" t="str">
            <v>N</v>
          </cell>
          <cell r="R261">
            <v>0</v>
          </cell>
          <cell r="S261">
            <v>0</v>
          </cell>
          <cell r="T261" t="str">
            <v>350S</v>
          </cell>
          <cell r="U261" t="str">
            <v>SSC</v>
          </cell>
          <cell r="V261" t="str">
            <v>350S</v>
          </cell>
        </row>
        <row r="262">
          <cell r="B262">
            <v>515830</v>
          </cell>
          <cell r="C262" t="str">
            <v>5100010</v>
          </cell>
          <cell r="D262" t="str">
            <v>MA, ANNIE F.</v>
          </cell>
          <cell r="E262" t="str">
            <v>CSREP2</v>
          </cell>
          <cell r="F262" t="str">
            <v>Customer Service Rep II</v>
          </cell>
          <cell r="G262" t="str">
            <v>4</v>
          </cell>
          <cell r="H262" t="str">
            <v>350CLR</v>
          </cell>
          <cell r="I262">
            <v>36731</v>
          </cell>
          <cell r="J262">
            <v>1</v>
          </cell>
          <cell r="K262">
            <v>36731</v>
          </cell>
          <cell r="L262" t="str">
            <v>OFC</v>
          </cell>
          <cell r="M262">
            <v>29.704999999999998</v>
          </cell>
          <cell r="N262">
            <v>25829</v>
          </cell>
          <cell r="O262">
            <v>627508</v>
          </cell>
          <cell r="P262">
            <v>0</v>
          </cell>
          <cell r="Q262" t="str">
            <v>N</v>
          </cell>
          <cell r="R262">
            <v>0</v>
          </cell>
          <cell r="S262">
            <v>0</v>
          </cell>
          <cell r="T262" t="str">
            <v>350CLR</v>
          </cell>
          <cell r="U262" t="str">
            <v>SSC</v>
          </cell>
          <cell r="V262" t="str">
            <v>350CLR</v>
          </cell>
        </row>
        <row r="263">
          <cell r="B263">
            <v>522491</v>
          </cell>
          <cell r="C263" t="str">
            <v>5100510</v>
          </cell>
          <cell r="D263" t="str">
            <v>PEREZ, ROBERTO C.</v>
          </cell>
          <cell r="E263" t="str">
            <v>MECHA2</v>
          </cell>
          <cell r="F263" t="str">
            <v>Mechanic (ASE Level 2)</v>
          </cell>
          <cell r="G263" t="str">
            <v>3</v>
          </cell>
          <cell r="H263" t="str">
            <v>350S</v>
          </cell>
          <cell r="I263">
            <v>36745</v>
          </cell>
          <cell r="J263">
            <v>1</v>
          </cell>
          <cell r="K263">
            <v>36745</v>
          </cell>
          <cell r="L263" t="str">
            <v>SHP</v>
          </cell>
          <cell r="M263">
            <v>47.585999999999999</v>
          </cell>
          <cell r="N263">
            <v>27014</v>
          </cell>
          <cell r="O263">
            <v>58755</v>
          </cell>
          <cell r="P263">
            <v>0</v>
          </cell>
          <cell r="Q263" t="str">
            <v>N</v>
          </cell>
          <cell r="R263">
            <v>0</v>
          </cell>
          <cell r="S263">
            <v>0</v>
          </cell>
          <cell r="T263" t="str">
            <v>350S</v>
          </cell>
          <cell r="U263" t="str">
            <v>SSC</v>
          </cell>
          <cell r="V263" t="str">
            <v>350S</v>
          </cell>
        </row>
        <row r="264">
          <cell r="B264">
            <v>522757</v>
          </cell>
          <cell r="C264" t="str">
            <v>5100014</v>
          </cell>
          <cell r="D264" t="str">
            <v>BUNDAGE, QUINCY</v>
          </cell>
          <cell r="E264" t="str">
            <v>FTSTC3</v>
          </cell>
          <cell r="F264" t="str">
            <v>Driver - Fantastic 3</v>
          </cell>
          <cell r="G264" t="str">
            <v>3</v>
          </cell>
          <cell r="H264" t="str">
            <v>350S</v>
          </cell>
          <cell r="I264">
            <v>36753</v>
          </cell>
          <cell r="J264">
            <v>1</v>
          </cell>
          <cell r="K264">
            <v>36753</v>
          </cell>
          <cell r="L264" t="str">
            <v>DSP</v>
          </cell>
          <cell r="M264">
            <v>42.23</v>
          </cell>
          <cell r="N264">
            <v>25408</v>
          </cell>
          <cell r="O264">
            <v>93497</v>
          </cell>
          <cell r="P264">
            <v>0</v>
          </cell>
          <cell r="Q264" t="str">
            <v>N</v>
          </cell>
          <cell r="R264">
            <v>0</v>
          </cell>
          <cell r="S264">
            <v>0</v>
          </cell>
          <cell r="T264" t="str">
            <v>Driver - Lead</v>
          </cell>
          <cell r="U264" t="str">
            <v>SSC</v>
          </cell>
          <cell r="V264" t="str">
            <v>350S</v>
          </cell>
        </row>
        <row r="265">
          <cell r="B265">
            <v>552948</v>
          </cell>
          <cell r="C265" t="str">
            <v>5100014</v>
          </cell>
          <cell r="D265" t="str">
            <v>TIGER, MARCUS T.</v>
          </cell>
          <cell r="E265" t="str">
            <v>FTSTC3</v>
          </cell>
          <cell r="F265" t="str">
            <v>Driver - Fantastic 3</v>
          </cell>
          <cell r="G265" t="str">
            <v>3</v>
          </cell>
          <cell r="H265" t="str">
            <v>350S</v>
          </cell>
          <cell r="I265">
            <v>36871</v>
          </cell>
          <cell r="J265">
            <v>1</v>
          </cell>
          <cell r="K265">
            <v>36871</v>
          </cell>
          <cell r="L265" t="str">
            <v>DSP</v>
          </cell>
          <cell r="M265">
            <v>42.23</v>
          </cell>
          <cell r="N265">
            <v>28138</v>
          </cell>
          <cell r="O265">
            <v>93497</v>
          </cell>
          <cell r="P265">
            <v>0</v>
          </cell>
          <cell r="Q265" t="str">
            <v>N</v>
          </cell>
          <cell r="R265">
            <v>0</v>
          </cell>
          <cell r="S265">
            <v>0</v>
          </cell>
          <cell r="T265" t="str">
            <v>Driver - Lead</v>
          </cell>
          <cell r="U265" t="str">
            <v>SSC</v>
          </cell>
          <cell r="V265" t="str">
            <v>350S</v>
          </cell>
        </row>
        <row r="266">
          <cell r="B266">
            <v>556148</v>
          </cell>
          <cell r="C266" t="str">
            <v>5100015</v>
          </cell>
          <cell r="D266" t="str">
            <v>LEWIS, BERNARD D.</v>
          </cell>
          <cell r="E266" t="str">
            <v>DRIVER</v>
          </cell>
          <cell r="F266" t="str">
            <v>Driver</v>
          </cell>
          <cell r="G266" t="str">
            <v>3</v>
          </cell>
          <cell r="H266" t="str">
            <v>350S</v>
          </cell>
          <cell r="I266">
            <v>36873</v>
          </cell>
          <cell r="J266">
            <v>1</v>
          </cell>
          <cell r="K266">
            <v>36873</v>
          </cell>
          <cell r="L266" t="str">
            <v>DSP</v>
          </cell>
          <cell r="M266">
            <v>42.23</v>
          </cell>
          <cell r="N266">
            <v>21430</v>
          </cell>
          <cell r="O266">
            <v>93497</v>
          </cell>
          <cell r="P266">
            <v>0</v>
          </cell>
          <cell r="Q266" t="str">
            <v>N</v>
          </cell>
          <cell r="R266">
            <v>0</v>
          </cell>
          <cell r="S266">
            <v>0</v>
          </cell>
          <cell r="T266" t="str">
            <v>Driver - Reg.</v>
          </cell>
          <cell r="U266" t="str">
            <v>SSC</v>
          </cell>
          <cell r="V266" t="str">
            <v>350S</v>
          </cell>
        </row>
        <row r="267">
          <cell r="B267">
            <v>556156</v>
          </cell>
          <cell r="C267" t="str">
            <v>5100015</v>
          </cell>
          <cell r="D267" t="str">
            <v>AGUILAR, AARON R.</v>
          </cell>
          <cell r="E267" t="str">
            <v>DRIVER</v>
          </cell>
          <cell r="F267" t="str">
            <v>Driver</v>
          </cell>
          <cell r="G267" t="str">
            <v>3</v>
          </cell>
          <cell r="H267" t="str">
            <v>350S</v>
          </cell>
          <cell r="I267">
            <v>36874</v>
          </cell>
          <cell r="J267">
            <v>1</v>
          </cell>
          <cell r="K267">
            <v>36874</v>
          </cell>
          <cell r="L267" t="str">
            <v>DSP</v>
          </cell>
          <cell r="M267">
            <v>42.23</v>
          </cell>
          <cell r="N267">
            <v>25756</v>
          </cell>
          <cell r="O267">
            <v>93497</v>
          </cell>
          <cell r="P267">
            <v>0</v>
          </cell>
          <cell r="Q267" t="str">
            <v>N</v>
          </cell>
          <cell r="R267">
            <v>0</v>
          </cell>
          <cell r="S267">
            <v>0</v>
          </cell>
          <cell r="T267" t="str">
            <v>Driver - Reg.</v>
          </cell>
          <cell r="U267" t="str">
            <v>SSC</v>
          </cell>
          <cell r="V267" t="str">
            <v>350S</v>
          </cell>
        </row>
        <row r="268">
          <cell r="B268">
            <v>559285</v>
          </cell>
          <cell r="C268" t="str">
            <v>5100510</v>
          </cell>
          <cell r="D268" t="str">
            <v>FALZON, TONY A.</v>
          </cell>
          <cell r="E268" t="str">
            <v>TGSHP</v>
          </cell>
          <cell r="F268" t="str">
            <v>Shop Person</v>
          </cell>
          <cell r="G268" t="str">
            <v>3</v>
          </cell>
          <cell r="H268" t="str">
            <v>350S</v>
          </cell>
          <cell r="I268">
            <v>36894</v>
          </cell>
          <cell r="J268">
            <v>1</v>
          </cell>
          <cell r="K268">
            <v>36894</v>
          </cell>
          <cell r="L268" t="str">
            <v>SHP</v>
          </cell>
          <cell r="M268">
            <v>40.540999999999997</v>
          </cell>
          <cell r="N268">
            <v>25674</v>
          </cell>
          <cell r="O268">
            <v>58755</v>
          </cell>
          <cell r="P268">
            <v>0</v>
          </cell>
          <cell r="Q268" t="str">
            <v>N</v>
          </cell>
          <cell r="R268">
            <v>0</v>
          </cell>
          <cell r="S268">
            <v>0</v>
          </cell>
          <cell r="T268" t="str">
            <v>350S</v>
          </cell>
          <cell r="U268" t="str">
            <v>SSC</v>
          </cell>
          <cell r="V268" t="str">
            <v>350S</v>
          </cell>
        </row>
        <row r="269">
          <cell r="B269">
            <v>648202</v>
          </cell>
          <cell r="C269" t="str">
            <v>5100510</v>
          </cell>
          <cell r="D269" t="str">
            <v>LOPEZ, CARLOS</v>
          </cell>
          <cell r="E269" t="str">
            <v>MAIMG</v>
          </cell>
          <cell r="F269" t="str">
            <v>Maintenance Mgr</v>
          </cell>
          <cell r="G269" t="str">
            <v>2</v>
          </cell>
          <cell r="H269">
            <v>0</v>
          </cell>
          <cell r="I269">
            <v>37277</v>
          </cell>
          <cell r="J269">
            <v>37277</v>
          </cell>
          <cell r="K269">
            <v>37277</v>
          </cell>
          <cell r="L269" t="str">
            <v>GNA</v>
          </cell>
          <cell r="M269">
            <v>45.616</v>
          </cell>
          <cell r="N269">
            <v>21704</v>
          </cell>
          <cell r="O269">
            <v>58755</v>
          </cell>
          <cell r="P269" t="str">
            <v>23</v>
          </cell>
          <cell r="Q269" t="str">
            <v>Y</v>
          </cell>
          <cell r="R269">
            <v>0</v>
          </cell>
          <cell r="S269">
            <v>0</v>
          </cell>
          <cell r="T269" t="str">
            <v>NonU</v>
          </cell>
          <cell r="U269" t="str">
            <v>SSC</v>
          </cell>
          <cell r="V269" t="str">
            <v>NonU</v>
          </cell>
        </row>
        <row r="270">
          <cell r="B270">
            <v>658179</v>
          </cell>
          <cell r="C270" t="str">
            <v>5100014</v>
          </cell>
          <cell r="D270" t="str">
            <v>HINTON, DEIDI C.</v>
          </cell>
          <cell r="E270" t="str">
            <v>OPSUP</v>
          </cell>
          <cell r="F270" t="str">
            <v>Operations Supvsr</v>
          </cell>
          <cell r="G270" t="str">
            <v>1</v>
          </cell>
          <cell r="H270">
            <v>0</v>
          </cell>
          <cell r="I270">
            <v>37321</v>
          </cell>
          <cell r="J270">
            <v>37321</v>
          </cell>
          <cell r="K270">
            <v>37321</v>
          </cell>
          <cell r="L270">
            <v>0</v>
          </cell>
          <cell r="M270">
            <v>31.544</v>
          </cell>
          <cell r="N270">
            <v>21712</v>
          </cell>
          <cell r="O270">
            <v>706337</v>
          </cell>
          <cell r="P270" t="str">
            <v>19</v>
          </cell>
          <cell r="Q270" t="str">
            <v>Y</v>
          </cell>
          <cell r="R270">
            <v>0</v>
          </cell>
          <cell r="S270">
            <v>0</v>
          </cell>
          <cell r="T270" t="str">
            <v>NonU</v>
          </cell>
          <cell r="U270" t="str">
            <v>SSC</v>
          </cell>
          <cell r="V270" t="str">
            <v>NonU</v>
          </cell>
        </row>
        <row r="271">
          <cell r="B271">
            <v>100773</v>
          </cell>
          <cell r="C271" t="str">
            <v>5100810</v>
          </cell>
          <cell r="D271" t="str">
            <v>GLAUB, JOHN C.</v>
          </cell>
          <cell r="E271" t="str">
            <v>GFAMG</v>
          </cell>
          <cell r="F271" t="str">
            <v>Group Finance &amp; Admin Manager</v>
          </cell>
          <cell r="G271" t="str">
            <v>1</v>
          </cell>
          <cell r="H271">
            <v>0</v>
          </cell>
          <cell r="I271">
            <v>35521</v>
          </cell>
          <cell r="J271">
            <v>35521</v>
          </cell>
          <cell r="K271">
            <v>37377</v>
          </cell>
          <cell r="L271" t="str">
            <v>MGR</v>
          </cell>
          <cell r="M271">
            <v>83.667000000000002</v>
          </cell>
          <cell r="N271">
            <v>18699</v>
          </cell>
          <cell r="O271">
            <v>91150</v>
          </cell>
          <cell r="P271" t="str">
            <v>32</v>
          </cell>
          <cell r="Q271" t="str">
            <v>Y</v>
          </cell>
          <cell r="R271">
            <v>0</v>
          </cell>
          <cell r="S271">
            <v>0</v>
          </cell>
          <cell r="T271" t="str">
            <v>NonU</v>
          </cell>
          <cell r="U271" t="str">
            <v>SSC</v>
          </cell>
          <cell r="V271" t="str">
            <v>NonU</v>
          </cell>
        </row>
        <row r="272">
          <cell r="B272">
            <v>91150</v>
          </cell>
          <cell r="C272" t="str">
            <v>5100810</v>
          </cell>
          <cell r="D272" t="str">
            <v>LEGNITTO, JOHN A.</v>
          </cell>
          <cell r="E272" t="str">
            <v>GMGRP</v>
          </cell>
          <cell r="F272" t="str">
            <v>Group General Manager</v>
          </cell>
          <cell r="G272" t="str">
            <v>3</v>
          </cell>
          <cell r="H272">
            <v>0</v>
          </cell>
          <cell r="I272">
            <v>34442</v>
          </cell>
          <cell r="J272">
            <v>34442</v>
          </cell>
          <cell r="K272">
            <v>38089</v>
          </cell>
          <cell r="L272" t="str">
            <v>MGR</v>
          </cell>
          <cell r="M272">
            <v>129.41300000000001</v>
          </cell>
          <cell r="N272">
            <v>20799</v>
          </cell>
          <cell r="O272">
            <v>94107</v>
          </cell>
          <cell r="P272" t="str">
            <v>35</v>
          </cell>
          <cell r="Q272" t="str">
            <v>Y</v>
          </cell>
          <cell r="R272">
            <v>0</v>
          </cell>
          <cell r="S272">
            <v>0</v>
          </cell>
          <cell r="T272" t="str">
            <v>NonU</v>
          </cell>
          <cell r="U272" t="str">
            <v>SSC</v>
          </cell>
          <cell r="V272" t="str">
            <v>NonU</v>
          </cell>
        </row>
        <row r="273">
          <cell r="B273">
            <v>866779</v>
          </cell>
          <cell r="C273" t="str">
            <v>5100740</v>
          </cell>
          <cell r="D273" t="str">
            <v>ALVA, JESSICA L.</v>
          </cell>
          <cell r="E273" t="str">
            <v>HRGEN</v>
          </cell>
          <cell r="F273" t="str">
            <v>HR Generalist</v>
          </cell>
          <cell r="G273" t="str">
            <v>2</v>
          </cell>
          <cell r="H273">
            <v>0</v>
          </cell>
          <cell r="I273">
            <v>38127</v>
          </cell>
          <cell r="J273">
            <v>38127</v>
          </cell>
          <cell r="K273">
            <v>38127</v>
          </cell>
          <cell r="L273" t="str">
            <v>GNA</v>
          </cell>
          <cell r="M273">
            <v>34.334000000000003</v>
          </cell>
          <cell r="N273">
            <v>26813</v>
          </cell>
          <cell r="O273">
            <v>99637</v>
          </cell>
          <cell r="P273" t="str">
            <v>21</v>
          </cell>
          <cell r="Q273" t="str">
            <v>Y</v>
          </cell>
          <cell r="R273">
            <v>0</v>
          </cell>
          <cell r="S273">
            <v>0</v>
          </cell>
          <cell r="T273" t="str">
            <v>NonU</v>
          </cell>
          <cell r="U273" t="str">
            <v>SSC</v>
          </cell>
          <cell r="V273" t="str">
            <v>NonU</v>
          </cell>
        </row>
        <row r="274">
          <cell r="B274">
            <v>60011</v>
          </cell>
          <cell r="C274" t="str">
            <v>5100510</v>
          </cell>
          <cell r="D274" t="str">
            <v>ORELLANA, MILTON A.</v>
          </cell>
          <cell r="E274" t="str">
            <v>MECH</v>
          </cell>
          <cell r="F274" t="str">
            <v>Mechanic</v>
          </cell>
          <cell r="G274" t="str">
            <v>3</v>
          </cell>
          <cell r="H274" t="str">
            <v>350S</v>
          </cell>
          <cell r="I274">
            <v>33103</v>
          </cell>
          <cell r="J274">
            <v>33103</v>
          </cell>
          <cell r="K274">
            <v>38243</v>
          </cell>
          <cell r="L274" t="str">
            <v>SHP</v>
          </cell>
          <cell r="M274">
            <v>43.26</v>
          </cell>
          <cell r="N274">
            <v>21440</v>
          </cell>
          <cell r="O274">
            <v>648202</v>
          </cell>
          <cell r="P274">
            <v>0</v>
          </cell>
          <cell r="Q274" t="str">
            <v>N</v>
          </cell>
          <cell r="R274">
            <v>0</v>
          </cell>
          <cell r="S274">
            <v>0</v>
          </cell>
          <cell r="T274" t="str">
            <v>350S</v>
          </cell>
          <cell r="U274" t="str">
            <v>SSC</v>
          </cell>
          <cell r="V274" t="str">
            <v>350S</v>
          </cell>
        </row>
        <row r="275">
          <cell r="B275">
            <v>909871</v>
          </cell>
          <cell r="C275" t="str">
            <v>5100510</v>
          </cell>
          <cell r="D275" t="str">
            <v>BETTENCOURT, MICHAEL H.</v>
          </cell>
          <cell r="E275" t="str">
            <v>AFORE2</v>
          </cell>
          <cell r="F275" t="str">
            <v>Asst Foreperson - Shop (ASE 2)</v>
          </cell>
          <cell r="G275" t="str">
            <v>3</v>
          </cell>
          <cell r="H275" t="str">
            <v>350S</v>
          </cell>
          <cell r="I275">
            <v>38257</v>
          </cell>
          <cell r="J275">
            <v>1</v>
          </cell>
          <cell r="K275">
            <v>38257</v>
          </cell>
          <cell r="L275" t="str">
            <v>SH2</v>
          </cell>
          <cell r="M275">
            <v>48.311</v>
          </cell>
          <cell r="N275">
            <v>25341</v>
          </cell>
          <cell r="O275">
            <v>58755</v>
          </cell>
          <cell r="P275">
            <v>0</v>
          </cell>
          <cell r="Q275" t="str">
            <v>N</v>
          </cell>
          <cell r="R275">
            <v>0</v>
          </cell>
          <cell r="S275">
            <v>0</v>
          </cell>
          <cell r="T275" t="str">
            <v>350S</v>
          </cell>
          <cell r="U275" t="str">
            <v>SSC</v>
          </cell>
          <cell r="V275" t="str">
            <v>350S</v>
          </cell>
        </row>
        <row r="276">
          <cell r="B276">
            <v>579260</v>
          </cell>
          <cell r="C276" t="str">
            <v>5100010</v>
          </cell>
          <cell r="D276" t="str">
            <v>YU, LANA Y.</v>
          </cell>
          <cell r="E276" t="str">
            <v>CSREP</v>
          </cell>
          <cell r="F276" t="str">
            <v>Customer Service Rep</v>
          </cell>
          <cell r="G276" t="str">
            <v>4</v>
          </cell>
          <cell r="H276" t="str">
            <v>350CLR</v>
          </cell>
          <cell r="I276">
            <v>36976</v>
          </cell>
          <cell r="J276">
            <v>1</v>
          </cell>
          <cell r="K276">
            <v>38303</v>
          </cell>
          <cell r="L276" t="str">
            <v>OFC</v>
          </cell>
          <cell r="M276">
            <v>29.704999999999998</v>
          </cell>
          <cell r="N276">
            <v>27903</v>
          </cell>
          <cell r="O276">
            <v>627508</v>
          </cell>
          <cell r="P276">
            <v>0</v>
          </cell>
          <cell r="Q276" t="str">
            <v>N</v>
          </cell>
          <cell r="R276">
            <v>0</v>
          </cell>
          <cell r="S276">
            <v>0</v>
          </cell>
          <cell r="T276" t="str">
            <v>350CLR</v>
          </cell>
          <cell r="U276" t="str">
            <v>SSC</v>
          </cell>
          <cell r="V276" t="str">
            <v>350CLR</v>
          </cell>
        </row>
        <row r="277">
          <cell r="B277">
            <v>1172525</v>
          </cell>
          <cell r="C277" t="str">
            <v>5100510</v>
          </cell>
          <cell r="D277" t="str">
            <v>VIEIRA, STACY</v>
          </cell>
          <cell r="E277" t="str">
            <v>MECHA2</v>
          </cell>
          <cell r="F277" t="str">
            <v>Mechanic (ASE Level 2)</v>
          </cell>
          <cell r="G277" t="str">
            <v>3</v>
          </cell>
          <cell r="H277" t="str">
            <v>350S</v>
          </cell>
          <cell r="I277">
            <v>38441</v>
          </cell>
          <cell r="J277">
            <v>38441</v>
          </cell>
          <cell r="K277">
            <v>38441</v>
          </cell>
          <cell r="L277" t="str">
            <v>SH2</v>
          </cell>
          <cell r="M277">
            <v>47.585999999999999</v>
          </cell>
          <cell r="N277">
            <v>25055</v>
          </cell>
          <cell r="O277">
            <v>58755</v>
          </cell>
          <cell r="P277">
            <v>0</v>
          </cell>
          <cell r="Q277" t="str">
            <v>N</v>
          </cell>
          <cell r="R277">
            <v>0</v>
          </cell>
          <cell r="S277">
            <v>0</v>
          </cell>
          <cell r="T277" t="str">
            <v>350S</v>
          </cell>
          <cell r="U277" t="str">
            <v>SSC</v>
          </cell>
          <cell r="V277" t="str">
            <v>350S</v>
          </cell>
        </row>
        <row r="278">
          <cell r="B278">
            <v>20693</v>
          </cell>
          <cell r="C278" t="str">
            <v>5100013</v>
          </cell>
          <cell r="D278" t="str">
            <v>DE MARTINI, ROBERT</v>
          </cell>
          <cell r="E278" t="str">
            <v>OPSMG</v>
          </cell>
          <cell r="F278" t="str">
            <v>Operations Manager</v>
          </cell>
          <cell r="G278" t="str">
            <v>2</v>
          </cell>
          <cell r="H278">
            <v>0</v>
          </cell>
          <cell r="I278">
            <v>28647</v>
          </cell>
          <cell r="J278">
            <v>28647</v>
          </cell>
          <cell r="K278">
            <v>38509</v>
          </cell>
          <cell r="L278" t="str">
            <v>MG3</v>
          </cell>
          <cell r="M278">
            <v>55.735999999999997</v>
          </cell>
          <cell r="N278">
            <v>22094</v>
          </cell>
          <cell r="O278">
            <v>33890</v>
          </cell>
          <cell r="P278" t="str">
            <v>23</v>
          </cell>
          <cell r="Q278" t="str">
            <v>Y</v>
          </cell>
          <cell r="R278">
            <v>0</v>
          </cell>
          <cell r="S278">
            <v>0</v>
          </cell>
          <cell r="T278" t="str">
            <v>NonU</v>
          </cell>
          <cell r="U278" t="str">
            <v>SSC</v>
          </cell>
          <cell r="V278" t="str">
            <v>NonU</v>
          </cell>
        </row>
        <row r="279">
          <cell r="B279">
            <v>1479009</v>
          </cell>
          <cell r="C279" t="str">
            <v>5100510</v>
          </cell>
          <cell r="D279" t="str">
            <v>VIDES, JULIO A.</v>
          </cell>
          <cell r="E279" t="str">
            <v>MECHA1</v>
          </cell>
          <cell r="F279" t="str">
            <v>Mechanic (ASE Level 1)</v>
          </cell>
          <cell r="G279" t="str">
            <v>3</v>
          </cell>
          <cell r="H279" t="str">
            <v>350S</v>
          </cell>
          <cell r="I279">
            <v>38558</v>
          </cell>
          <cell r="J279">
            <v>38558</v>
          </cell>
          <cell r="K279">
            <v>38558</v>
          </cell>
          <cell r="L279" t="str">
            <v>SH2</v>
          </cell>
          <cell r="M279">
            <v>45.423000000000002</v>
          </cell>
          <cell r="N279">
            <v>25570</v>
          </cell>
          <cell r="O279">
            <v>648202</v>
          </cell>
          <cell r="P279">
            <v>0</v>
          </cell>
          <cell r="Q279" t="str">
            <v>N</v>
          </cell>
          <cell r="R279">
            <v>0</v>
          </cell>
          <cell r="S279">
            <v>0</v>
          </cell>
          <cell r="T279" t="str">
            <v>350S</v>
          </cell>
          <cell r="U279" t="str">
            <v>SSC</v>
          </cell>
          <cell r="V279" t="str">
            <v>350S</v>
          </cell>
        </row>
        <row r="280">
          <cell r="B280">
            <v>599359</v>
          </cell>
          <cell r="C280" t="str">
            <v>5100010</v>
          </cell>
          <cell r="D280" t="str">
            <v>VALLEJO, ELISA</v>
          </cell>
          <cell r="E280" t="str">
            <v>CSREP</v>
          </cell>
          <cell r="F280" t="str">
            <v>Customer Service Rep</v>
          </cell>
          <cell r="G280" t="str">
            <v>4</v>
          </cell>
          <cell r="H280" t="str">
            <v>350CLR</v>
          </cell>
          <cell r="I280">
            <v>37074</v>
          </cell>
          <cell r="J280">
            <v>38700</v>
          </cell>
          <cell r="K280">
            <v>38700</v>
          </cell>
          <cell r="L280" t="str">
            <v>OFC</v>
          </cell>
          <cell r="M280">
            <v>29.704999999999998</v>
          </cell>
          <cell r="N280">
            <v>22978</v>
          </cell>
          <cell r="O280">
            <v>627508</v>
          </cell>
          <cell r="P280">
            <v>0</v>
          </cell>
          <cell r="Q280" t="str">
            <v>N</v>
          </cell>
          <cell r="R280">
            <v>0</v>
          </cell>
          <cell r="S280">
            <v>0</v>
          </cell>
          <cell r="T280" t="str">
            <v>350CLR</v>
          </cell>
          <cell r="U280" t="str">
            <v>SSC</v>
          </cell>
          <cell r="V280" t="str">
            <v>350CLR</v>
          </cell>
        </row>
        <row r="281">
          <cell r="B281">
            <v>584077</v>
          </cell>
          <cell r="C281" t="str">
            <v>5100014</v>
          </cell>
          <cell r="D281" t="str">
            <v>ELLINGTON, ERIK S.</v>
          </cell>
          <cell r="E281" t="str">
            <v>FTSTC3</v>
          </cell>
          <cell r="F281" t="str">
            <v>Driver - Fantastic 3</v>
          </cell>
          <cell r="G281" t="str">
            <v>3</v>
          </cell>
          <cell r="H281" t="str">
            <v>350S</v>
          </cell>
          <cell r="I281">
            <v>37011</v>
          </cell>
          <cell r="J281">
            <v>1</v>
          </cell>
          <cell r="K281">
            <v>38763</v>
          </cell>
          <cell r="L281" t="str">
            <v>DSP</v>
          </cell>
          <cell r="M281">
            <v>42.23</v>
          </cell>
          <cell r="N281">
            <v>25676</v>
          </cell>
          <cell r="O281">
            <v>627137</v>
          </cell>
          <cell r="P281">
            <v>0</v>
          </cell>
          <cell r="Q281" t="str">
            <v>N</v>
          </cell>
          <cell r="R281">
            <v>0</v>
          </cell>
          <cell r="S281">
            <v>0</v>
          </cell>
          <cell r="T281" t="str">
            <v>Driver - Lead</v>
          </cell>
          <cell r="U281" t="str">
            <v>SSC</v>
          </cell>
          <cell r="V281" t="str">
            <v>350S</v>
          </cell>
        </row>
        <row r="282">
          <cell r="B282">
            <v>2025631</v>
          </cell>
          <cell r="C282" t="str">
            <v>5100015</v>
          </cell>
          <cell r="D282" t="str">
            <v>EBERLE, DENIS</v>
          </cell>
          <cell r="E282" t="str">
            <v>DRIVER</v>
          </cell>
          <cell r="F282" t="str">
            <v>Driver</v>
          </cell>
          <cell r="G282" t="str">
            <v>3</v>
          </cell>
          <cell r="H282" t="str">
            <v>350S</v>
          </cell>
          <cell r="I282">
            <v>38769</v>
          </cell>
          <cell r="J282">
            <v>38769</v>
          </cell>
          <cell r="K282">
            <v>38769</v>
          </cell>
          <cell r="L282" t="str">
            <v>DSP</v>
          </cell>
          <cell r="M282">
            <v>42.23</v>
          </cell>
          <cell r="N282">
            <v>24548</v>
          </cell>
          <cell r="O282">
            <v>627137</v>
          </cell>
          <cell r="P282">
            <v>0</v>
          </cell>
          <cell r="Q282" t="str">
            <v>N</v>
          </cell>
          <cell r="R282">
            <v>0</v>
          </cell>
          <cell r="S282">
            <v>0</v>
          </cell>
          <cell r="T282" t="str">
            <v>Driver - Reg.</v>
          </cell>
          <cell r="U282" t="str">
            <v>SSC</v>
          </cell>
          <cell r="V282" t="str">
            <v>350S</v>
          </cell>
        </row>
        <row r="283">
          <cell r="B283">
            <v>58755</v>
          </cell>
          <cell r="C283" t="str">
            <v>5100510</v>
          </cell>
          <cell r="D283" t="str">
            <v>MENDOZA JR, JAMES W.</v>
          </cell>
          <cell r="E283" t="str">
            <v>MAIMG</v>
          </cell>
          <cell r="F283" t="str">
            <v>Maintenance Mgr</v>
          </cell>
          <cell r="G283" t="str">
            <v>3</v>
          </cell>
          <cell r="H283">
            <v>0</v>
          </cell>
          <cell r="I283">
            <v>33063</v>
          </cell>
          <cell r="J283">
            <v>36129</v>
          </cell>
          <cell r="K283">
            <v>38774</v>
          </cell>
          <cell r="L283">
            <v>0</v>
          </cell>
          <cell r="M283">
            <v>55.17</v>
          </cell>
          <cell r="N283">
            <v>25875</v>
          </cell>
          <cell r="O283">
            <v>91150</v>
          </cell>
          <cell r="P283" t="str">
            <v>24</v>
          </cell>
          <cell r="Q283" t="str">
            <v>Y</v>
          </cell>
          <cell r="R283">
            <v>0</v>
          </cell>
          <cell r="S283">
            <v>0</v>
          </cell>
          <cell r="T283" t="str">
            <v>NonU</v>
          </cell>
          <cell r="U283" t="str">
            <v>SSC</v>
          </cell>
          <cell r="V283" t="str">
            <v>NonU</v>
          </cell>
        </row>
        <row r="284">
          <cell r="B284">
            <v>2057191</v>
          </cell>
          <cell r="C284" t="str">
            <v>5100015</v>
          </cell>
          <cell r="D284" t="str">
            <v>MARTINEZ, CARLOS A.</v>
          </cell>
          <cell r="E284" t="str">
            <v>DRIVER</v>
          </cell>
          <cell r="F284" t="str">
            <v>Driver</v>
          </cell>
          <cell r="G284" t="str">
            <v>3</v>
          </cell>
          <cell r="H284" t="str">
            <v>350S</v>
          </cell>
          <cell r="I284">
            <v>38791</v>
          </cell>
          <cell r="J284">
            <v>38791</v>
          </cell>
          <cell r="K284">
            <v>38791</v>
          </cell>
          <cell r="L284" t="str">
            <v>DSP</v>
          </cell>
          <cell r="M284">
            <v>42.23</v>
          </cell>
          <cell r="N284">
            <v>29514</v>
          </cell>
          <cell r="O284">
            <v>627137</v>
          </cell>
          <cell r="P284">
            <v>0</v>
          </cell>
          <cell r="Q284" t="str">
            <v>N</v>
          </cell>
          <cell r="R284">
            <v>0</v>
          </cell>
          <cell r="S284">
            <v>0</v>
          </cell>
          <cell r="T284" t="str">
            <v>Driver - Reg.</v>
          </cell>
          <cell r="U284" t="str">
            <v>SSC</v>
          </cell>
          <cell r="V284" t="str">
            <v>350S</v>
          </cell>
        </row>
        <row r="285">
          <cell r="B285">
            <v>2305203</v>
          </cell>
          <cell r="C285" t="str">
            <v>5100015</v>
          </cell>
          <cell r="D285" t="str">
            <v>MERCADO, ELISEO</v>
          </cell>
          <cell r="E285" t="str">
            <v>DRIVER</v>
          </cell>
          <cell r="F285" t="str">
            <v>Driver</v>
          </cell>
          <cell r="G285" t="str">
            <v>3</v>
          </cell>
          <cell r="H285" t="str">
            <v>350S</v>
          </cell>
          <cell r="I285">
            <v>38874</v>
          </cell>
          <cell r="J285">
            <v>38874</v>
          </cell>
          <cell r="K285">
            <v>38874</v>
          </cell>
          <cell r="L285" t="str">
            <v>DSP</v>
          </cell>
          <cell r="M285">
            <v>42.23</v>
          </cell>
          <cell r="N285">
            <v>23218</v>
          </cell>
          <cell r="O285">
            <v>627137</v>
          </cell>
          <cell r="P285">
            <v>0</v>
          </cell>
          <cell r="Q285" t="str">
            <v>N</v>
          </cell>
          <cell r="R285">
            <v>0</v>
          </cell>
          <cell r="S285">
            <v>0</v>
          </cell>
          <cell r="T285" t="str">
            <v>Driver - Reg.</v>
          </cell>
          <cell r="U285" t="str">
            <v>SSC</v>
          </cell>
          <cell r="V285" t="str">
            <v>350S</v>
          </cell>
        </row>
        <row r="286">
          <cell r="B286">
            <v>1982940</v>
          </cell>
          <cell r="C286" t="str">
            <v>5100015</v>
          </cell>
          <cell r="D286" t="str">
            <v>PADILLA JR, JOSE L.</v>
          </cell>
          <cell r="E286" t="str">
            <v>DRIVER</v>
          </cell>
          <cell r="F286" t="str">
            <v>Driver</v>
          </cell>
          <cell r="G286" t="str">
            <v>3</v>
          </cell>
          <cell r="H286" t="str">
            <v>350S</v>
          </cell>
          <cell r="I286">
            <v>38875</v>
          </cell>
          <cell r="J286">
            <v>38875</v>
          </cell>
          <cell r="K286">
            <v>38875</v>
          </cell>
          <cell r="L286" t="str">
            <v>DSP</v>
          </cell>
          <cell r="M286">
            <v>42.23</v>
          </cell>
          <cell r="N286">
            <v>25085</v>
          </cell>
          <cell r="O286">
            <v>627137</v>
          </cell>
          <cell r="P286">
            <v>0</v>
          </cell>
          <cell r="Q286" t="str">
            <v>N</v>
          </cell>
          <cell r="R286">
            <v>0</v>
          </cell>
          <cell r="S286">
            <v>0</v>
          </cell>
          <cell r="T286" t="str">
            <v>Driver - Reg.</v>
          </cell>
          <cell r="U286" t="str">
            <v>SSC</v>
          </cell>
          <cell r="V286" t="str">
            <v>350S</v>
          </cell>
        </row>
        <row r="287">
          <cell r="B287">
            <v>1978078</v>
          </cell>
          <cell r="C287" t="str">
            <v>5100014</v>
          </cell>
          <cell r="D287" t="str">
            <v>FANNING, MATTHEW G.</v>
          </cell>
          <cell r="E287" t="str">
            <v>FTSTC3</v>
          </cell>
          <cell r="F287" t="str">
            <v>Driver - Fantastic 3</v>
          </cell>
          <cell r="G287" t="str">
            <v>3</v>
          </cell>
          <cell r="H287" t="str">
            <v>350S</v>
          </cell>
          <cell r="I287">
            <v>38880</v>
          </cell>
          <cell r="J287">
            <v>38880</v>
          </cell>
          <cell r="K287">
            <v>38880</v>
          </cell>
          <cell r="L287" t="str">
            <v>DSP</v>
          </cell>
          <cell r="M287">
            <v>42.23</v>
          </cell>
          <cell r="N287">
            <v>28145</v>
          </cell>
          <cell r="O287">
            <v>627137</v>
          </cell>
          <cell r="P287">
            <v>0</v>
          </cell>
          <cell r="Q287" t="str">
            <v>N</v>
          </cell>
          <cell r="R287">
            <v>0</v>
          </cell>
          <cell r="S287">
            <v>0</v>
          </cell>
          <cell r="T287" t="str">
            <v>Driver - Lead</v>
          </cell>
          <cell r="U287" t="str">
            <v>SSC</v>
          </cell>
          <cell r="V287" t="str">
            <v>350S</v>
          </cell>
        </row>
        <row r="288">
          <cell r="B288">
            <v>515856</v>
          </cell>
          <cell r="C288" t="str">
            <v>5100014</v>
          </cell>
          <cell r="D288" t="str">
            <v>DELA TORRE, ARTURO</v>
          </cell>
          <cell r="E288" t="str">
            <v>FTSTC3</v>
          </cell>
          <cell r="F288" t="str">
            <v>Driver - Fantastic 3</v>
          </cell>
          <cell r="G288" t="str">
            <v>3</v>
          </cell>
          <cell r="H288" t="str">
            <v>350S</v>
          </cell>
          <cell r="I288">
            <v>36732</v>
          </cell>
          <cell r="J288">
            <v>1</v>
          </cell>
          <cell r="K288">
            <v>38881</v>
          </cell>
          <cell r="L288" t="str">
            <v>DSP</v>
          </cell>
          <cell r="M288">
            <v>42.23</v>
          </cell>
          <cell r="N288">
            <v>26933</v>
          </cell>
          <cell r="O288">
            <v>627137</v>
          </cell>
          <cell r="P288">
            <v>0</v>
          </cell>
          <cell r="Q288" t="str">
            <v>N</v>
          </cell>
          <cell r="R288">
            <v>0</v>
          </cell>
          <cell r="S288">
            <v>0</v>
          </cell>
          <cell r="T288" t="str">
            <v>Driver - Lead</v>
          </cell>
          <cell r="U288" t="str">
            <v>SSC</v>
          </cell>
          <cell r="V288" t="str">
            <v>350S</v>
          </cell>
        </row>
        <row r="289">
          <cell r="B289">
            <v>568430</v>
          </cell>
          <cell r="C289" t="str">
            <v>5100015</v>
          </cell>
          <cell r="D289" t="str">
            <v>JOHNSON, LADANTE T.</v>
          </cell>
          <cell r="E289" t="str">
            <v>DRIVER</v>
          </cell>
          <cell r="F289" t="str">
            <v>Driver</v>
          </cell>
          <cell r="G289" t="str">
            <v>3</v>
          </cell>
          <cell r="H289" t="str">
            <v>350S</v>
          </cell>
          <cell r="I289">
            <v>36928</v>
          </cell>
          <cell r="J289">
            <v>36928</v>
          </cell>
          <cell r="K289">
            <v>38901</v>
          </cell>
          <cell r="L289" t="str">
            <v>DSP</v>
          </cell>
          <cell r="M289">
            <v>42.23</v>
          </cell>
          <cell r="N289">
            <v>27138</v>
          </cell>
          <cell r="O289">
            <v>627137</v>
          </cell>
          <cell r="P289">
            <v>0</v>
          </cell>
          <cell r="Q289" t="str">
            <v>N</v>
          </cell>
          <cell r="R289">
            <v>0</v>
          </cell>
          <cell r="S289">
            <v>0</v>
          </cell>
          <cell r="T289" t="str">
            <v>Driver - Reg.</v>
          </cell>
          <cell r="U289" t="str">
            <v>SSC</v>
          </cell>
          <cell r="V289" t="str">
            <v>350S</v>
          </cell>
        </row>
        <row r="290">
          <cell r="B290">
            <v>2499968</v>
          </cell>
          <cell r="C290" t="str">
            <v>5100010</v>
          </cell>
          <cell r="D290" t="str">
            <v>CUARESMA GOLDSTEIN, PATRICIA</v>
          </cell>
          <cell r="E290" t="str">
            <v>CSREP</v>
          </cell>
          <cell r="F290" t="str">
            <v>Customer Service Rep</v>
          </cell>
          <cell r="G290" t="str">
            <v>4</v>
          </cell>
          <cell r="H290" t="str">
            <v>350CLR</v>
          </cell>
          <cell r="I290">
            <v>38903</v>
          </cell>
          <cell r="J290">
            <v>38903</v>
          </cell>
          <cell r="K290">
            <v>38903</v>
          </cell>
          <cell r="L290" t="str">
            <v>OFC</v>
          </cell>
          <cell r="M290">
            <v>29.704999999999998</v>
          </cell>
          <cell r="N290">
            <v>21441</v>
          </cell>
          <cell r="O290">
            <v>627508</v>
          </cell>
          <cell r="P290">
            <v>0</v>
          </cell>
          <cell r="Q290" t="str">
            <v>N</v>
          </cell>
          <cell r="R290">
            <v>0</v>
          </cell>
          <cell r="S290">
            <v>0</v>
          </cell>
          <cell r="T290" t="str">
            <v>350CLR</v>
          </cell>
          <cell r="U290" t="str">
            <v>SSC</v>
          </cell>
          <cell r="V290" t="str">
            <v>350CLR</v>
          </cell>
        </row>
        <row r="291">
          <cell r="B291">
            <v>2364879</v>
          </cell>
          <cell r="C291" t="str">
            <v>5100510</v>
          </cell>
          <cell r="D291" t="str">
            <v>CHAVEZ, EMMANUEL</v>
          </cell>
          <cell r="E291" t="str">
            <v>OPSUP</v>
          </cell>
          <cell r="F291" t="str">
            <v>Operations Supvsr</v>
          </cell>
          <cell r="G291" t="str">
            <v>2</v>
          </cell>
          <cell r="H291">
            <v>0</v>
          </cell>
          <cell r="I291">
            <v>38915</v>
          </cell>
          <cell r="J291">
            <v>38915</v>
          </cell>
          <cell r="K291">
            <v>38915</v>
          </cell>
          <cell r="L291">
            <v>0</v>
          </cell>
          <cell r="M291">
            <v>34.076999999999998</v>
          </cell>
          <cell r="N291">
            <v>20718</v>
          </cell>
          <cell r="O291">
            <v>58755</v>
          </cell>
          <cell r="P291" t="str">
            <v>22</v>
          </cell>
          <cell r="Q291" t="str">
            <v>Y</v>
          </cell>
          <cell r="R291">
            <v>0</v>
          </cell>
          <cell r="S291">
            <v>0</v>
          </cell>
          <cell r="T291" t="str">
            <v>NonU</v>
          </cell>
          <cell r="U291" t="str">
            <v>SSC</v>
          </cell>
          <cell r="V291" t="str">
            <v>NonU</v>
          </cell>
        </row>
        <row r="292">
          <cell r="B292">
            <v>1809303</v>
          </cell>
          <cell r="C292" t="str">
            <v>5100015</v>
          </cell>
          <cell r="D292" t="str">
            <v>COTRONEO, PASQUALE F.</v>
          </cell>
          <cell r="E292" t="str">
            <v>DRIVER</v>
          </cell>
          <cell r="F292" t="str">
            <v>Driver</v>
          </cell>
          <cell r="G292" t="str">
            <v>3</v>
          </cell>
          <cell r="H292" t="str">
            <v>350S</v>
          </cell>
          <cell r="I292">
            <v>38670</v>
          </cell>
          <cell r="J292">
            <v>38670</v>
          </cell>
          <cell r="K292">
            <v>38943</v>
          </cell>
          <cell r="L292" t="str">
            <v>DSP</v>
          </cell>
          <cell r="M292">
            <v>42.23</v>
          </cell>
          <cell r="N292">
            <v>28996</v>
          </cell>
          <cell r="O292">
            <v>627137</v>
          </cell>
          <cell r="P292">
            <v>0</v>
          </cell>
          <cell r="Q292" t="str">
            <v>N</v>
          </cell>
          <cell r="R292">
            <v>0</v>
          </cell>
          <cell r="S292">
            <v>0</v>
          </cell>
          <cell r="T292" t="str">
            <v>Driver - Reg.</v>
          </cell>
          <cell r="U292" t="str">
            <v>SSC</v>
          </cell>
          <cell r="V292" t="str">
            <v>350S</v>
          </cell>
        </row>
        <row r="293">
          <cell r="B293">
            <v>2612861</v>
          </cell>
          <cell r="C293" t="str">
            <v>5100014</v>
          </cell>
          <cell r="D293" t="str">
            <v>HERRERA JR, RAMON</v>
          </cell>
          <cell r="E293" t="str">
            <v>FTSTC3</v>
          </cell>
          <cell r="F293" t="str">
            <v>Driver - Fantastic 3</v>
          </cell>
          <cell r="G293" t="str">
            <v>3</v>
          </cell>
          <cell r="H293" t="str">
            <v>350S</v>
          </cell>
          <cell r="I293">
            <v>38952</v>
          </cell>
          <cell r="J293">
            <v>38952</v>
          </cell>
          <cell r="K293">
            <v>38952</v>
          </cell>
          <cell r="L293" t="str">
            <v>DSP</v>
          </cell>
          <cell r="M293">
            <v>42.23</v>
          </cell>
          <cell r="N293">
            <v>27581</v>
          </cell>
          <cell r="O293">
            <v>627137</v>
          </cell>
          <cell r="P293">
            <v>0</v>
          </cell>
          <cell r="Q293" t="str">
            <v>N</v>
          </cell>
          <cell r="R293">
            <v>0</v>
          </cell>
          <cell r="S293">
            <v>0</v>
          </cell>
          <cell r="T293" t="str">
            <v>Driver - Lead</v>
          </cell>
          <cell r="U293" t="str">
            <v>SSC</v>
          </cell>
          <cell r="V293" t="str">
            <v>350S</v>
          </cell>
        </row>
        <row r="294">
          <cell r="B294">
            <v>2612668</v>
          </cell>
          <cell r="C294" t="str">
            <v>5100014</v>
          </cell>
          <cell r="D294" t="str">
            <v>LEON, VICENTE J.</v>
          </cell>
          <cell r="E294" t="str">
            <v>FTSTC3</v>
          </cell>
          <cell r="F294" t="str">
            <v>Driver - Fantastic 3</v>
          </cell>
          <cell r="G294" t="str">
            <v>3</v>
          </cell>
          <cell r="H294" t="str">
            <v>350S</v>
          </cell>
          <cell r="I294">
            <v>38959</v>
          </cell>
          <cell r="J294">
            <v>38959</v>
          </cell>
          <cell r="K294">
            <v>38959</v>
          </cell>
          <cell r="L294" t="str">
            <v>DSP</v>
          </cell>
          <cell r="M294">
            <v>42.23</v>
          </cell>
          <cell r="N294">
            <v>29650</v>
          </cell>
          <cell r="O294">
            <v>627137</v>
          </cell>
          <cell r="P294">
            <v>0</v>
          </cell>
          <cell r="Q294" t="str">
            <v>N</v>
          </cell>
          <cell r="R294">
            <v>0</v>
          </cell>
          <cell r="S294">
            <v>0</v>
          </cell>
          <cell r="T294" t="str">
            <v>Driver - Lead</v>
          </cell>
          <cell r="U294" t="str">
            <v>SSC</v>
          </cell>
          <cell r="V294" t="str">
            <v>350S</v>
          </cell>
        </row>
        <row r="295">
          <cell r="B295">
            <v>2611201</v>
          </cell>
          <cell r="C295" t="str">
            <v>5100016</v>
          </cell>
          <cell r="D295" t="str">
            <v>MEDIOUS, STEFANIE P.</v>
          </cell>
          <cell r="E295" t="str">
            <v>SLMGR</v>
          </cell>
          <cell r="F295" t="str">
            <v>Sales Manager</v>
          </cell>
          <cell r="G295" t="str">
            <v>3</v>
          </cell>
          <cell r="H295">
            <v>0</v>
          </cell>
          <cell r="I295">
            <v>38971</v>
          </cell>
          <cell r="J295">
            <v>38971</v>
          </cell>
          <cell r="K295">
            <v>38971</v>
          </cell>
          <cell r="L295">
            <v>0</v>
          </cell>
          <cell r="M295">
            <v>52.558</v>
          </cell>
          <cell r="N295">
            <v>23912</v>
          </cell>
          <cell r="O295">
            <v>101354</v>
          </cell>
          <cell r="P295" t="str">
            <v>24</v>
          </cell>
          <cell r="Q295" t="str">
            <v>Y</v>
          </cell>
          <cell r="R295">
            <v>0</v>
          </cell>
          <cell r="S295">
            <v>0</v>
          </cell>
          <cell r="T295" t="str">
            <v>NonU</v>
          </cell>
          <cell r="U295" t="str">
            <v>SSC</v>
          </cell>
          <cell r="V295" t="str">
            <v>NonU</v>
          </cell>
        </row>
        <row r="296">
          <cell r="B296">
            <v>2662067</v>
          </cell>
          <cell r="C296" t="str">
            <v>5100510</v>
          </cell>
          <cell r="D296" t="str">
            <v>ENRIQUEZ, MAURICIO R.</v>
          </cell>
          <cell r="E296" t="str">
            <v>MECH</v>
          </cell>
          <cell r="F296" t="str">
            <v>Mechanic</v>
          </cell>
          <cell r="G296" t="str">
            <v>3</v>
          </cell>
          <cell r="H296" t="str">
            <v>350S</v>
          </cell>
          <cell r="I296">
            <v>39021</v>
          </cell>
          <cell r="J296">
            <v>39021</v>
          </cell>
          <cell r="K296">
            <v>39021</v>
          </cell>
          <cell r="L296" t="str">
            <v>SH2</v>
          </cell>
          <cell r="M296">
            <v>43.26</v>
          </cell>
          <cell r="N296">
            <v>25960</v>
          </cell>
          <cell r="O296">
            <v>58755</v>
          </cell>
          <cell r="P296">
            <v>0</v>
          </cell>
          <cell r="Q296" t="str">
            <v>N</v>
          </cell>
          <cell r="R296">
            <v>0</v>
          </cell>
          <cell r="S296">
            <v>0</v>
          </cell>
          <cell r="T296" t="str">
            <v>350S</v>
          </cell>
          <cell r="U296" t="str">
            <v>SSC</v>
          </cell>
          <cell r="V296" t="str">
            <v>350S</v>
          </cell>
        </row>
        <row r="297">
          <cell r="B297">
            <v>343134</v>
          </cell>
          <cell r="C297" t="str">
            <v>5100015</v>
          </cell>
          <cell r="D297" t="str">
            <v>LIGE, MAURICE D.</v>
          </cell>
          <cell r="E297" t="str">
            <v>DRIVER</v>
          </cell>
          <cell r="F297" t="str">
            <v>Driver</v>
          </cell>
          <cell r="G297" t="str">
            <v>3</v>
          </cell>
          <cell r="H297" t="str">
            <v>350S</v>
          </cell>
          <cell r="I297">
            <v>36034</v>
          </cell>
          <cell r="J297">
            <v>1</v>
          </cell>
          <cell r="K297">
            <v>39195</v>
          </cell>
          <cell r="L297" t="str">
            <v>DSP</v>
          </cell>
          <cell r="M297">
            <v>42.23</v>
          </cell>
          <cell r="N297">
            <v>25682</v>
          </cell>
          <cell r="O297">
            <v>627137</v>
          </cell>
          <cell r="P297">
            <v>0</v>
          </cell>
          <cell r="Q297" t="str">
            <v>N</v>
          </cell>
          <cell r="R297">
            <v>0</v>
          </cell>
          <cell r="S297">
            <v>0</v>
          </cell>
          <cell r="T297" t="str">
            <v>Driver - Reg.</v>
          </cell>
          <cell r="U297" t="str">
            <v>SSC</v>
          </cell>
          <cell r="V297" t="str">
            <v>350S</v>
          </cell>
        </row>
        <row r="298">
          <cell r="B298">
            <v>3289381</v>
          </cell>
          <cell r="C298" t="str">
            <v>5100810</v>
          </cell>
          <cell r="D298" t="str">
            <v>WU, CYNTHIA X.</v>
          </cell>
          <cell r="E298" t="str">
            <v>FINAN</v>
          </cell>
          <cell r="F298" t="str">
            <v>Financial Analyst</v>
          </cell>
          <cell r="G298" t="str">
            <v>1</v>
          </cell>
          <cell r="H298">
            <v>0</v>
          </cell>
          <cell r="I298">
            <v>39209</v>
          </cell>
          <cell r="J298">
            <v>39209</v>
          </cell>
          <cell r="K298">
            <v>39209</v>
          </cell>
          <cell r="L298" t="str">
            <v>GNA</v>
          </cell>
          <cell r="M298">
            <v>35.168999999999997</v>
          </cell>
          <cell r="N298">
            <v>28363</v>
          </cell>
          <cell r="O298">
            <v>102779</v>
          </cell>
          <cell r="P298" t="str">
            <v>21</v>
          </cell>
          <cell r="Q298" t="str">
            <v>N</v>
          </cell>
          <cell r="R298">
            <v>0</v>
          </cell>
          <cell r="S298">
            <v>0</v>
          </cell>
          <cell r="T298" t="str">
            <v>NonEx</v>
          </cell>
          <cell r="U298" t="str">
            <v>SSC</v>
          </cell>
          <cell r="V298" t="str">
            <v>NonEx</v>
          </cell>
        </row>
        <row r="299">
          <cell r="B299">
            <v>2831351</v>
          </cell>
          <cell r="C299" t="str">
            <v>5100015</v>
          </cell>
          <cell r="D299" t="str">
            <v>PADILLA, DUGALDO L.</v>
          </cell>
          <cell r="E299" t="str">
            <v>DRIVER</v>
          </cell>
          <cell r="F299" t="str">
            <v>Driver</v>
          </cell>
          <cell r="G299" t="str">
            <v>3</v>
          </cell>
          <cell r="H299" t="str">
            <v>350S</v>
          </cell>
          <cell r="I299">
            <v>39216</v>
          </cell>
          <cell r="J299">
            <v>39216</v>
          </cell>
          <cell r="K299">
            <v>39216</v>
          </cell>
          <cell r="L299" t="str">
            <v>DSP</v>
          </cell>
          <cell r="M299">
            <v>42.23</v>
          </cell>
          <cell r="N299">
            <v>27262</v>
          </cell>
          <cell r="O299">
            <v>83141</v>
          </cell>
          <cell r="P299">
            <v>0</v>
          </cell>
          <cell r="Q299" t="str">
            <v>N</v>
          </cell>
          <cell r="R299">
            <v>0</v>
          </cell>
          <cell r="S299">
            <v>0</v>
          </cell>
          <cell r="T299" t="str">
            <v>Driver - Reg.</v>
          </cell>
          <cell r="U299" t="str">
            <v>SSC</v>
          </cell>
          <cell r="V299" t="str">
            <v>350S</v>
          </cell>
        </row>
        <row r="300">
          <cell r="B300">
            <v>579315</v>
          </cell>
          <cell r="C300" t="str">
            <v>5100014</v>
          </cell>
          <cell r="D300" t="str">
            <v>PONCE, JOSE</v>
          </cell>
          <cell r="E300" t="str">
            <v>FTSTC3</v>
          </cell>
          <cell r="F300" t="str">
            <v>Driver - Fantastic 3</v>
          </cell>
          <cell r="G300" t="str">
            <v>3</v>
          </cell>
          <cell r="H300" t="str">
            <v>350S</v>
          </cell>
          <cell r="I300">
            <v>36976</v>
          </cell>
          <cell r="J300">
            <v>36976</v>
          </cell>
          <cell r="K300">
            <v>39251</v>
          </cell>
          <cell r="L300" t="str">
            <v>DSP</v>
          </cell>
          <cell r="M300">
            <v>42.23</v>
          </cell>
          <cell r="N300">
            <v>29207</v>
          </cell>
          <cell r="O300">
            <v>627137</v>
          </cell>
          <cell r="P300">
            <v>0</v>
          </cell>
          <cell r="Q300" t="str">
            <v>N</v>
          </cell>
          <cell r="R300">
            <v>0</v>
          </cell>
          <cell r="S300">
            <v>0</v>
          </cell>
          <cell r="T300" t="str">
            <v>Driver - Lead</v>
          </cell>
          <cell r="U300" t="str">
            <v>SSC</v>
          </cell>
          <cell r="V300" t="str">
            <v>350S</v>
          </cell>
        </row>
        <row r="301">
          <cell r="B301">
            <v>89535</v>
          </cell>
          <cell r="C301" t="str">
            <v>5100014</v>
          </cell>
          <cell r="D301" t="str">
            <v>MAYORGA, ANGELO A.</v>
          </cell>
          <cell r="E301" t="str">
            <v>FTSTC3</v>
          </cell>
          <cell r="F301" t="str">
            <v>Driver - Fantastic 3</v>
          </cell>
          <cell r="G301" t="str">
            <v>3</v>
          </cell>
          <cell r="H301" t="str">
            <v>350S</v>
          </cell>
          <cell r="I301">
            <v>34492</v>
          </cell>
          <cell r="J301">
            <v>34644</v>
          </cell>
          <cell r="K301">
            <v>39258</v>
          </cell>
          <cell r="L301" t="str">
            <v>DSP</v>
          </cell>
          <cell r="M301">
            <v>42.23</v>
          </cell>
          <cell r="N301">
            <v>27013</v>
          </cell>
          <cell r="O301">
            <v>627137</v>
          </cell>
          <cell r="P301">
            <v>0</v>
          </cell>
          <cell r="Q301" t="str">
            <v>N</v>
          </cell>
          <cell r="R301">
            <v>0</v>
          </cell>
          <cell r="S301">
            <v>0</v>
          </cell>
          <cell r="T301" t="str">
            <v>Driver - Lead</v>
          </cell>
          <cell r="U301" t="str">
            <v>SSC</v>
          </cell>
          <cell r="V301" t="str">
            <v>350S</v>
          </cell>
        </row>
        <row r="302">
          <cell r="B302">
            <v>2482411</v>
          </cell>
          <cell r="C302" t="str">
            <v>5100014</v>
          </cell>
          <cell r="D302" t="str">
            <v>MAGEE, ANTOINE D.</v>
          </cell>
          <cell r="E302" t="str">
            <v>FTSTC3</v>
          </cell>
          <cell r="F302" t="str">
            <v>Driver - Fantastic 3</v>
          </cell>
          <cell r="G302" t="str">
            <v>3</v>
          </cell>
          <cell r="H302" t="str">
            <v>350S</v>
          </cell>
          <cell r="I302">
            <v>38966</v>
          </cell>
          <cell r="J302">
            <v>38966</v>
          </cell>
          <cell r="K302">
            <v>39258</v>
          </cell>
          <cell r="L302" t="str">
            <v>DSP</v>
          </cell>
          <cell r="M302">
            <v>42.23</v>
          </cell>
          <cell r="N302">
            <v>28451</v>
          </cell>
          <cell r="O302">
            <v>627137</v>
          </cell>
          <cell r="P302">
            <v>0</v>
          </cell>
          <cell r="Q302" t="str">
            <v>N</v>
          </cell>
          <cell r="R302">
            <v>0</v>
          </cell>
          <cell r="S302">
            <v>0</v>
          </cell>
          <cell r="T302" t="str">
            <v>Driver - Lead</v>
          </cell>
          <cell r="U302" t="str">
            <v>SSC</v>
          </cell>
          <cell r="V302" t="str">
            <v>350S</v>
          </cell>
        </row>
        <row r="303">
          <cell r="B303">
            <v>752464</v>
          </cell>
          <cell r="C303" t="str">
            <v>5100014</v>
          </cell>
          <cell r="D303" t="str">
            <v>STINSON, LYNELL</v>
          </cell>
          <cell r="E303" t="str">
            <v>OPSUP</v>
          </cell>
          <cell r="F303" t="str">
            <v>Operations Supvsr</v>
          </cell>
          <cell r="G303" t="str">
            <v>2</v>
          </cell>
          <cell r="H303">
            <v>0</v>
          </cell>
          <cell r="I303">
            <v>37683</v>
          </cell>
          <cell r="J303">
            <v>37683</v>
          </cell>
          <cell r="K303">
            <v>39265</v>
          </cell>
          <cell r="L303">
            <v>0</v>
          </cell>
          <cell r="M303">
            <v>35.409999999999997</v>
          </cell>
          <cell r="N303">
            <v>27084</v>
          </cell>
          <cell r="O303">
            <v>706337</v>
          </cell>
          <cell r="P303" t="str">
            <v>22</v>
          </cell>
          <cell r="Q303" t="str">
            <v>Y</v>
          </cell>
          <cell r="R303">
            <v>0</v>
          </cell>
          <cell r="S303">
            <v>0</v>
          </cell>
          <cell r="T303" t="str">
            <v>NonU</v>
          </cell>
          <cell r="U303" t="str">
            <v>SSC</v>
          </cell>
          <cell r="V303" t="str">
            <v>NonU</v>
          </cell>
        </row>
        <row r="304">
          <cell r="B304">
            <v>1500816</v>
          </cell>
          <cell r="C304" t="str">
            <v>5100510</v>
          </cell>
          <cell r="D304" t="str">
            <v>MELO, DENNY</v>
          </cell>
          <cell r="E304" t="str">
            <v>MECH</v>
          </cell>
          <cell r="F304" t="str">
            <v>Mechanic</v>
          </cell>
          <cell r="G304" t="str">
            <v>3</v>
          </cell>
          <cell r="H304" t="str">
            <v>350S</v>
          </cell>
          <cell r="I304">
            <v>38530</v>
          </cell>
          <cell r="J304">
            <v>38530</v>
          </cell>
          <cell r="K304">
            <v>39265</v>
          </cell>
          <cell r="L304" t="str">
            <v>SHP</v>
          </cell>
          <cell r="M304">
            <v>43.26</v>
          </cell>
          <cell r="N304">
            <v>28518</v>
          </cell>
          <cell r="O304">
            <v>58755</v>
          </cell>
          <cell r="P304">
            <v>0</v>
          </cell>
          <cell r="Q304" t="str">
            <v>N</v>
          </cell>
          <cell r="R304">
            <v>0</v>
          </cell>
          <cell r="S304">
            <v>0</v>
          </cell>
          <cell r="T304" t="str">
            <v>350S</v>
          </cell>
          <cell r="U304" t="str">
            <v>SSC</v>
          </cell>
          <cell r="V304" t="str">
            <v>350S</v>
          </cell>
        </row>
        <row r="305">
          <cell r="B305">
            <v>2001365</v>
          </cell>
          <cell r="C305" t="str">
            <v>5100014</v>
          </cell>
          <cell r="D305" t="str">
            <v>CHAVEZ, JESSE R.</v>
          </cell>
          <cell r="E305" t="str">
            <v>FTSTC3</v>
          </cell>
          <cell r="F305" t="str">
            <v>Driver - Fantastic 3</v>
          </cell>
          <cell r="G305" t="str">
            <v>3</v>
          </cell>
          <cell r="H305" t="str">
            <v>350S</v>
          </cell>
          <cell r="I305">
            <v>39265</v>
          </cell>
          <cell r="J305">
            <v>39265</v>
          </cell>
          <cell r="K305">
            <v>39265</v>
          </cell>
          <cell r="L305" t="str">
            <v>DSP</v>
          </cell>
          <cell r="M305">
            <v>42.23</v>
          </cell>
          <cell r="N305">
            <v>25445</v>
          </cell>
          <cell r="O305">
            <v>627137</v>
          </cell>
          <cell r="P305">
            <v>0</v>
          </cell>
          <cell r="Q305" t="str">
            <v>N</v>
          </cell>
          <cell r="R305">
            <v>0</v>
          </cell>
          <cell r="S305">
            <v>0</v>
          </cell>
          <cell r="T305" t="str">
            <v>Driver - Lead</v>
          </cell>
          <cell r="U305" t="str">
            <v>SSC</v>
          </cell>
          <cell r="V305" t="str">
            <v>350S</v>
          </cell>
        </row>
        <row r="306">
          <cell r="B306">
            <v>3173054</v>
          </cell>
          <cell r="C306" t="str">
            <v>5100014</v>
          </cell>
          <cell r="D306" t="str">
            <v>VARGAS, ANTONIO</v>
          </cell>
          <cell r="E306" t="str">
            <v>FTSTC3</v>
          </cell>
          <cell r="F306" t="str">
            <v>Driver - Fantastic 3</v>
          </cell>
          <cell r="G306" t="str">
            <v>3</v>
          </cell>
          <cell r="H306" t="str">
            <v>350S</v>
          </cell>
          <cell r="I306">
            <v>39265</v>
          </cell>
          <cell r="J306">
            <v>39265</v>
          </cell>
          <cell r="K306">
            <v>39265</v>
          </cell>
          <cell r="L306" t="str">
            <v>DSP</v>
          </cell>
          <cell r="M306">
            <v>42.23</v>
          </cell>
          <cell r="N306">
            <v>29933</v>
          </cell>
          <cell r="O306">
            <v>627137</v>
          </cell>
          <cell r="P306">
            <v>0</v>
          </cell>
          <cell r="Q306" t="str">
            <v>N</v>
          </cell>
          <cell r="R306">
            <v>0</v>
          </cell>
          <cell r="S306">
            <v>0</v>
          </cell>
          <cell r="T306" t="str">
            <v>Driver - Lead</v>
          </cell>
          <cell r="U306" t="str">
            <v>SSC</v>
          </cell>
          <cell r="V306" t="str">
            <v>350S</v>
          </cell>
        </row>
        <row r="307">
          <cell r="B307">
            <v>3212551</v>
          </cell>
          <cell r="C307" t="str">
            <v>5100510</v>
          </cell>
          <cell r="D307" t="str">
            <v>MARTINEZ, ERNESTO</v>
          </cell>
          <cell r="E307" t="str">
            <v>MECH</v>
          </cell>
          <cell r="F307" t="str">
            <v>Mechanic</v>
          </cell>
          <cell r="G307" t="str">
            <v>3</v>
          </cell>
          <cell r="H307" t="str">
            <v>350S</v>
          </cell>
          <cell r="I307">
            <v>39342</v>
          </cell>
          <cell r="J307">
            <v>39342</v>
          </cell>
          <cell r="K307">
            <v>39342</v>
          </cell>
          <cell r="L307" t="str">
            <v>SH2</v>
          </cell>
          <cell r="M307">
            <v>43.26</v>
          </cell>
          <cell r="N307">
            <v>29517</v>
          </cell>
          <cell r="O307">
            <v>58755</v>
          </cell>
          <cell r="P307">
            <v>0</v>
          </cell>
          <cell r="Q307" t="str">
            <v>N</v>
          </cell>
          <cell r="R307">
            <v>0</v>
          </cell>
          <cell r="S307">
            <v>0</v>
          </cell>
          <cell r="T307" t="str">
            <v>350S</v>
          </cell>
          <cell r="U307" t="str">
            <v>SSC</v>
          </cell>
          <cell r="V307" t="str">
            <v>350S</v>
          </cell>
        </row>
        <row r="308">
          <cell r="B308">
            <v>92814</v>
          </cell>
          <cell r="C308" t="str">
            <v>5100810</v>
          </cell>
          <cell r="D308" t="str">
            <v>REED, ROBERT</v>
          </cell>
          <cell r="E308" t="str">
            <v>PRMGR</v>
          </cell>
          <cell r="F308" t="str">
            <v>Public Relations Manager</v>
          </cell>
          <cell r="G308">
            <v>0</v>
          </cell>
          <cell r="H308">
            <v>0</v>
          </cell>
          <cell r="I308">
            <v>34820</v>
          </cell>
          <cell r="J308">
            <v>34820</v>
          </cell>
          <cell r="K308">
            <v>39363</v>
          </cell>
          <cell r="L308">
            <v>0</v>
          </cell>
          <cell r="M308">
            <v>70.575999999999993</v>
          </cell>
          <cell r="N308">
            <v>21560</v>
          </cell>
          <cell r="O308">
            <v>38501</v>
          </cell>
          <cell r="P308" t="str">
            <v>26</v>
          </cell>
          <cell r="Q308" t="str">
            <v>Y</v>
          </cell>
          <cell r="R308">
            <v>0</v>
          </cell>
          <cell r="S308">
            <v>0</v>
          </cell>
          <cell r="T308" t="str">
            <v>NonU</v>
          </cell>
          <cell r="U308" t="str">
            <v>SSC</v>
          </cell>
          <cell r="V308" t="str">
            <v>NonU</v>
          </cell>
        </row>
        <row r="309">
          <cell r="B309">
            <v>579331</v>
          </cell>
          <cell r="C309" t="str">
            <v>5100014</v>
          </cell>
          <cell r="D309" t="str">
            <v>HUANG, SHANNON</v>
          </cell>
          <cell r="E309" t="str">
            <v>FTSTC3</v>
          </cell>
          <cell r="F309" t="str">
            <v>Driver - Fantastic 3</v>
          </cell>
          <cell r="G309" t="str">
            <v>3</v>
          </cell>
          <cell r="H309" t="str">
            <v>350S</v>
          </cell>
          <cell r="I309">
            <v>36976</v>
          </cell>
          <cell r="J309">
            <v>1</v>
          </cell>
          <cell r="K309">
            <v>39377</v>
          </cell>
          <cell r="L309" t="str">
            <v>DSP</v>
          </cell>
          <cell r="M309">
            <v>42.23</v>
          </cell>
          <cell r="N309">
            <v>25202</v>
          </cell>
          <cell r="O309">
            <v>627137</v>
          </cell>
          <cell r="P309">
            <v>0</v>
          </cell>
          <cell r="Q309" t="str">
            <v>N</v>
          </cell>
          <cell r="R309">
            <v>0</v>
          </cell>
          <cell r="S309">
            <v>0</v>
          </cell>
          <cell r="T309" t="str">
            <v>Driver - Lead</v>
          </cell>
          <cell r="U309" t="str">
            <v>SSC</v>
          </cell>
          <cell r="V309" t="str">
            <v>350S</v>
          </cell>
        </row>
        <row r="310">
          <cell r="B310">
            <v>777661</v>
          </cell>
          <cell r="C310" t="str">
            <v>5100014</v>
          </cell>
          <cell r="D310" t="str">
            <v>LUCAS, MICHAEL J.</v>
          </cell>
          <cell r="E310" t="str">
            <v>FTSTC3</v>
          </cell>
          <cell r="F310" t="str">
            <v>Driver - Fantastic 3</v>
          </cell>
          <cell r="G310" t="str">
            <v>3</v>
          </cell>
          <cell r="H310" t="str">
            <v>350S</v>
          </cell>
          <cell r="I310">
            <v>37782</v>
          </cell>
          <cell r="J310">
            <v>37782</v>
          </cell>
          <cell r="K310">
            <v>39405</v>
          </cell>
          <cell r="L310" t="str">
            <v>DSP</v>
          </cell>
          <cell r="M310">
            <v>42.23</v>
          </cell>
          <cell r="N310">
            <v>23304</v>
          </cell>
          <cell r="O310">
            <v>627137</v>
          </cell>
          <cell r="P310">
            <v>0</v>
          </cell>
          <cell r="Q310" t="str">
            <v>N</v>
          </cell>
          <cell r="R310">
            <v>0</v>
          </cell>
          <cell r="S310">
            <v>0</v>
          </cell>
          <cell r="T310" t="str">
            <v>Driver - Lead</v>
          </cell>
          <cell r="U310" t="str">
            <v>SSC</v>
          </cell>
          <cell r="V310" t="str">
            <v>350S</v>
          </cell>
        </row>
        <row r="311">
          <cell r="B311">
            <v>551814</v>
          </cell>
          <cell r="C311" t="str">
            <v>5100014</v>
          </cell>
          <cell r="D311" t="str">
            <v>HERNANDEZ AGUAS, JOAQUIN</v>
          </cell>
          <cell r="E311" t="str">
            <v>FTSTC3</v>
          </cell>
          <cell r="F311" t="str">
            <v>Driver - Fantastic 3</v>
          </cell>
          <cell r="G311" t="str">
            <v>3</v>
          </cell>
          <cell r="H311" t="str">
            <v>350S</v>
          </cell>
          <cell r="I311">
            <v>36850</v>
          </cell>
          <cell r="J311">
            <v>36850</v>
          </cell>
          <cell r="K311">
            <v>39419</v>
          </cell>
          <cell r="L311" t="str">
            <v>DSP</v>
          </cell>
          <cell r="M311">
            <v>42.23</v>
          </cell>
          <cell r="N311">
            <v>26527</v>
          </cell>
          <cell r="O311">
            <v>627137</v>
          </cell>
          <cell r="P311">
            <v>0</v>
          </cell>
          <cell r="Q311" t="str">
            <v>N</v>
          </cell>
          <cell r="R311">
            <v>0</v>
          </cell>
          <cell r="S311">
            <v>0</v>
          </cell>
          <cell r="T311" t="str">
            <v>Driver - Lead</v>
          </cell>
          <cell r="U311" t="str">
            <v>SSC</v>
          </cell>
          <cell r="V311" t="str">
            <v>350S</v>
          </cell>
        </row>
        <row r="312">
          <cell r="B312">
            <v>908828</v>
          </cell>
          <cell r="C312" t="str">
            <v>5100015</v>
          </cell>
          <cell r="D312" t="str">
            <v>SAMANO, EDUARDO P.</v>
          </cell>
          <cell r="E312" t="str">
            <v>DRIVER</v>
          </cell>
          <cell r="F312" t="str">
            <v>Driver</v>
          </cell>
          <cell r="G312" t="str">
            <v>3</v>
          </cell>
          <cell r="H312" t="str">
            <v>350S</v>
          </cell>
          <cell r="I312">
            <v>38252</v>
          </cell>
          <cell r="J312">
            <v>1</v>
          </cell>
          <cell r="K312">
            <v>39433</v>
          </cell>
          <cell r="L312" t="str">
            <v>DSP</v>
          </cell>
          <cell r="M312">
            <v>42.23</v>
          </cell>
          <cell r="N312">
            <v>30877</v>
          </cell>
          <cell r="O312">
            <v>658179</v>
          </cell>
          <cell r="P312">
            <v>0</v>
          </cell>
          <cell r="Q312" t="str">
            <v>N</v>
          </cell>
          <cell r="R312">
            <v>0</v>
          </cell>
          <cell r="S312">
            <v>0</v>
          </cell>
          <cell r="T312" t="str">
            <v>Driver - Reg.</v>
          </cell>
          <cell r="U312" t="str">
            <v>SSC</v>
          </cell>
          <cell r="V312" t="str">
            <v>350S</v>
          </cell>
        </row>
        <row r="313">
          <cell r="B313">
            <v>3762393</v>
          </cell>
          <cell r="C313" t="str">
            <v>5100014</v>
          </cell>
          <cell r="D313" t="str">
            <v>CRESCENTI, ANTHONY S.</v>
          </cell>
          <cell r="E313" t="str">
            <v>OPSMG</v>
          </cell>
          <cell r="F313" t="str">
            <v>Operations Manager</v>
          </cell>
          <cell r="G313" t="str">
            <v>2</v>
          </cell>
          <cell r="H313">
            <v>0</v>
          </cell>
          <cell r="I313">
            <v>39433</v>
          </cell>
          <cell r="J313">
            <v>39433</v>
          </cell>
          <cell r="K313">
            <v>39433</v>
          </cell>
          <cell r="L313" t="str">
            <v>MG2</v>
          </cell>
          <cell r="M313">
            <v>34.832000000000001</v>
          </cell>
          <cell r="N313">
            <v>30877</v>
          </cell>
          <cell r="O313">
            <v>627137</v>
          </cell>
          <cell r="P313" t="str">
            <v>23</v>
          </cell>
          <cell r="Q313" t="str">
            <v>Y</v>
          </cell>
          <cell r="R313">
            <v>0</v>
          </cell>
          <cell r="S313">
            <v>0</v>
          </cell>
          <cell r="T313" t="str">
            <v>NonU</v>
          </cell>
          <cell r="U313" t="str">
            <v>SSC</v>
          </cell>
          <cell r="V313" t="str">
            <v>NonU</v>
          </cell>
        </row>
        <row r="314">
          <cell r="B314">
            <v>20061</v>
          </cell>
          <cell r="C314" t="str">
            <v>5100014</v>
          </cell>
          <cell r="D314" t="str">
            <v>BLAKE, ALAN R.</v>
          </cell>
          <cell r="E314" t="str">
            <v>OPSMG</v>
          </cell>
          <cell r="F314" t="str">
            <v>Operations Manager</v>
          </cell>
          <cell r="G314" t="str">
            <v>2</v>
          </cell>
          <cell r="H314">
            <v>0</v>
          </cell>
          <cell r="I314">
            <v>31138</v>
          </cell>
          <cell r="J314">
            <v>39449</v>
          </cell>
          <cell r="K314">
            <v>39449</v>
          </cell>
          <cell r="L314" t="str">
            <v>MG2</v>
          </cell>
          <cell r="M314">
            <v>42.866999999999997</v>
          </cell>
          <cell r="N314">
            <v>20242</v>
          </cell>
          <cell r="O314">
            <v>627137</v>
          </cell>
          <cell r="P314" t="str">
            <v>23</v>
          </cell>
          <cell r="Q314" t="str">
            <v>Y</v>
          </cell>
          <cell r="R314">
            <v>0</v>
          </cell>
          <cell r="S314">
            <v>0</v>
          </cell>
          <cell r="T314" t="str">
            <v>NonU</v>
          </cell>
          <cell r="U314" t="str">
            <v>SSC</v>
          </cell>
          <cell r="V314" t="str">
            <v>NonU</v>
          </cell>
        </row>
        <row r="315">
          <cell r="B315">
            <v>3741517</v>
          </cell>
          <cell r="C315" t="str">
            <v>5100010</v>
          </cell>
          <cell r="D315" t="str">
            <v>MCKINNEY, NETRA D.</v>
          </cell>
          <cell r="E315" t="str">
            <v>CSREP</v>
          </cell>
          <cell r="F315" t="str">
            <v>Customer Service Rep</v>
          </cell>
          <cell r="G315" t="str">
            <v>4</v>
          </cell>
          <cell r="H315" t="str">
            <v>350CLR</v>
          </cell>
          <cell r="I315">
            <v>39450</v>
          </cell>
          <cell r="J315">
            <v>39450</v>
          </cell>
          <cell r="K315">
            <v>39450</v>
          </cell>
          <cell r="L315" t="str">
            <v>OFC</v>
          </cell>
          <cell r="M315">
            <v>29.704999999999998</v>
          </cell>
          <cell r="N315">
            <v>23964</v>
          </cell>
          <cell r="O315">
            <v>627508</v>
          </cell>
          <cell r="P315">
            <v>0</v>
          </cell>
          <cell r="Q315" t="str">
            <v>N</v>
          </cell>
          <cell r="R315">
            <v>0</v>
          </cell>
          <cell r="S315">
            <v>0</v>
          </cell>
          <cell r="T315" t="str">
            <v>350CLR</v>
          </cell>
          <cell r="U315" t="str">
            <v>SSC</v>
          </cell>
          <cell r="V315" t="str">
            <v>350CLR</v>
          </cell>
        </row>
        <row r="316">
          <cell r="B316">
            <v>3796737</v>
          </cell>
          <cell r="C316" t="str">
            <v>5100015</v>
          </cell>
          <cell r="D316" t="str">
            <v>EDMONDS, MARK K.</v>
          </cell>
          <cell r="E316" t="str">
            <v>DRIVER</v>
          </cell>
          <cell r="F316" t="str">
            <v>Driver</v>
          </cell>
          <cell r="G316" t="str">
            <v>3</v>
          </cell>
          <cell r="H316" t="str">
            <v>350S</v>
          </cell>
          <cell r="I316">
            <v>39454</v>
          </cell>
          <cell r="J316">
            <v>39454</v>
          </cell>
          <cell r="K316">
            <v>39454</v>
          </cell>
          <cell r="L316" t="str">
            <v>DSP</v>
          </cell>
          <cell r="M316">
            <v>42.23</v>
          </cell>
          <cell r="N316">
            <v>22755</v>
          </cell>
          <cell r="O316">
            <v>627137</v>
          </cell>
          <cell r="P316">
            <v>0</v>
          </cell>
          <cell r="Q316" t="str">
            <v>N</v>
          </cell>
          <cell r="R316">
            <v>0</v>
          </cell>
          <cell r="S316">
            <v>0</v>
          </cell>
          <cell r="T316" t="str">
            <v>Driver - Reg.</v>
          </cell>
          <cell r="U316" t="str">
            <v>SSC</v>
          </cell>
          <cell r="V316" t="str">
            <v>350S</v>
          </cell>
        </row>
        <row r="317">
          <cell r="B317">
            <v>3741525</v>
          </cell>
          <cell r="C317" t="str">
            <v>5100010</v>
          </cell>
          <cell r="D317" t="str">
            <v>CAMPOS, VILMA O.</v>
          </cell>
          <cell r="E317" t="str">
            <v>CSREP</v>
          </cell>
          <cell r="F317" t="str">
            <v>Customer Service Rep</v>
          </cell>
          <cell r="G317" t="str">
            <v>4</v>
          </cell>
          <cell r="H317" t="str">
            <v>350CLR</v>
          </cell>
          <cell r="I317">
            <v>39484</v>
          </cell>
          <cell r="J317">
            <v>39484</v>
          </cell>
          <cell r="K317">
            <v>39484</v>
          </cell>
          <cell r="L317" t="str">
            <v>OFC</v>
          </cell>
          <cell r="M317">
            <v>29.704999999999998</v>
          </cell>
          <cell r="N317">
            <v>30998</v>
          </cell>
          <cell r="O317">
            <v>627508</v>
          </cell>
          <cell r="P317">
            <v>0</v>
          </cell>
          <cell r="Q317" t="str">
            <v>N</v>
          </cell>
          <cell r="R317">
            <v>0</v>
          </cell>
          <cell r="S317">
            <v>0</v>
          </cell>
          <cell r="T317" t="str">
            <v>350CLR</v>
          </cell>
          <cell r="U317" t="str">
            <v>SSC</v>
          </cell>
          <cell r="V317" t="str">
            <v>350CLR</v>
          </cell>
        </row>
        <row r="318">
          <cell r="B318">
            <v>3828188</v>
          </cell>
          <cell r="C318" t="str">
            <v>5100510</v>
          </cell>
          <cell r="D318" t="str">
            <v>MEDINA, JAVIER D.</v>
          </cell>
          <cell r="E318" t="str">
            <v>MECH</v>
          </cell>
          <cell r="F318" t="str">
            <v>Mechanic</v>
          </cell>
          <cell r="G318" t="str">
            <v>3</v>
          </cell>
          <cell r="H318" t="str">
            <v>350S</v>
          </cell>
          <cell r="I318">
            <v>39489</v>
          </cell>
          <cell r="J318">
            <v>39489</v>
          </cell>
          <cell r="K318">
            <v>39489</v>
          </cell>
          <cell r="L318" t="str">
            <v>SH2</v>
          </cell>
          <cell r="M318">
            <v>43.26</v>
          </cell>
          <cell r="N318">
            <v>28908</v>
          </cell>
          <cell r="O318">
            <v>58755</v>
          </cell>
          <cell r="P318">
            <v>0</v>
          </cell>
          <cell r="Q318" t="str">
            <v>N</v>
          </cell>
          <cell r="R318">
            <v>0</v>
          </cell>
          <cell r="S318">
            <v>0</v>
          </cell>
          <cell r="T318" t="str">
            <v>350S</v>
          </cell>
          <cell r="U318" t="str">
            <v>SSC</v>
          </cell>
          <cell r="V318" t="str">
            <v>350S</v>
          </cell>
        </row>
        <row r="319">
          <cell r="B319">
            <v>3969212</v>
          </cell>
          <cell r="C319" t="str">
            <v>5100014</v>
          </cell>
          <cell r="D319" t="str">
            <v>THOMPSON, ANDREW C.</v>
          </cell>
          <cell r="E319" t="str">
            <v>OPSUP</v>
          </cell>
          <cell r="F319" t="str">
            <v>Operations Supvsr</v>
          </cell>
          <cell r="G319" t="str">
            <v>1</v>
          </cell>
          <cell r="H319">
            <v>0</v>
          </cell>
          <cell r="I319">
            <v>39511</v>
          </cell>
          <cell r="J319">
            <v>39511</v>
          </cell>
          <cell r="K319">
            <v>39511</v>
          </cell>
          <cell r="L319">
            <v>0</v>
          </cell>
          <cell r="M319">
            <v>28.579000000000001</v>
          </cell>
          <cell r="N319">
            <v>27762</v>
          </cell>
          <cell r="O319">
            <v>3762393</v>
          </cell>
          <cell r="P319" t="str">
            <v>19</v>
          </cell>
          <cell r="Q319" t="str">
            <v>Y</v>
          </cell>
          <cell r="R319">
            <v>0</v>
          </cell>
          <cell r="S319">
            <v>0</v>
          </cell>
          <cell r="T319" t="str">
            <v>NonU</v>
          </cell>
          <cell r="U319" t="str">
            <v>SSC</v>
          </cell>
          <cell r="V319" t="str">
            <v>NonU</v>
          </cell>
        </row>
        <row r="320">
          <cell r="B320">
            <v>2624925</v>
          </cell>
          <cell r="C320" t="str">
            <v>5100015</v>
          </cell>
          <cell r="D320" t="str">
            <v>PACHECO, JUAN C.</v>
          </cell>
          <cell r="E320" t="str">
            <v>DRIVER</v>
          </cell>
          <cell r="F320" t="str">
            <v>Driver</v>
          </cell>
          <cell r="G320" t="str">
            <v>3</v>
          </cell>
          <cell r="H320" t="str">
            <v>350S</v>
          </cell>
          <cell r="I320">
            <v>39524</v>
          </cell>
          <cell r="J320">
            <v>39524</v>
          </cell>
          <cell r="K320">
            <v>39524</v>
          </cell>
          <cell r="L320" t="str">
            <v>DSP</v>
          </cell>
          <cell r="M320">
            <v>42.23</v>
          </cell>
          <cell r="N320">
            <v>23797</v>
          </cell>
          <cell r="O320">
            <v>627137</v>
          </cell>
          <cell r="P320">
            <v>0</v>
          </cell>
          <cell r="Q320" t="str">
            <v>N</v>
          </cell>
          <cell r="R320">
            <v>0</v>
          </cell>
          <cell r="S320">
            <v>0</v>
          </cell>
          <cell r="T320" t="str">
            <v>Driver - Reg.</v>
          </cell>
          <cell r="U320" t="str">
            <v>SSC</v>
          </cell>
          <cell r="V320" t="str">
            <v>350S</v>
          </cell>
        </row>
        <row r="321">
          <cell r="B321">
            <v>2365142</v>
          </cell>
          <cell r="C321" t="str">
            <v>5100015</v>
          </cell>
          <cell r="D321" t="str">
            <v>LOPEZ JR, DAVID J.</v>
          </cell>
          <cell r="E321" t="str">
            <v>DRIVER</v>
          </cell>
          <cell r="F321" t="str">
            <v>Driver</v>
          </cell>
          <cell r="G321" t="str">
            <v>3</v>
          </cell>
          <cell r="H321" t="str">
            <v>350S</v>
          </cell>
          <cell r="I321">
            <v>39531</v>
          </cell>
          <cell r="J321">
            <v>39531</v>
          </cell>
          <cell r="K321">
            <v>39531</v>
          </cell>
          <cell r="L321" t="str">
            <v>DSP</v>
          </cell>
          <cell r="M321">
            <v>42.23</v>
          </cell>
          <cell r="N321">
            <v>24413</v>
          </cell>
          <cell r="O321">
            <v>627137</v>
          </cell>
          <cell r="P321">
            <v>0</v>
          </cell>
          <cell r="Q321" t="str">
            <v>N</v>
          </cell>
          <cell r="R321">
            <v>0</v>
          </cell>
          <cell r="S321">
            <v>0</v>
          </cell>
          <cell r="T321" t="str">
            <v>Driver - Reg.</v>
          </cell>
          <cell r="U321" t="str">
            <v>SSC</v>
          </cell>
          <cell r="V321" t="str">
            <v>350S</v>
          </cell>
        </row>
        <row r="322">
          <cell r="B322">
            <v>3173185</v>
          </cell>
          <cell r="C322" t="str">
            <v>5100015</v>
          </cell>
          <cell r="D322" t="str">
            <v>RUSSELL, TIMOTHY A.</v>
          </cell>
          <cell r="E322" t="str">
            <v>DRIVER</v>
          </cell>
          <cell r="F322" t="str">
            <v>Driver</v>
          </cell>
          <cell r="G322" t="str">
            <v>3</v>
          </cell>
          <cell r="H322" t="str">
            <v>350S</v>
          </cell>
          <cell r="I322">
            <v>39545</v>
          </cell>
          <cell r="J322">
            <v>39545</v>
          </cell>
          <cell r="K322">
            <v>39545</v>
          </cell>
          <cell r="L322" t="str">
            <v>DSP</v>
          </cell>
          <cell r="M322">
            <v>42.23</v>
          </cell>
          <cell r="N322">
            <v>24746</v>
          </cell>
          <cell r="O322">
            <v>627137</v>
          </cell>
          <cell r="P322">
            <v>0</v>
          </cell>
          <cell r="Q322" t="str">
            <v>N</v>
          </cell>
          <cell r="R322">
            <v>0</v>
          </cell>
          <cell r="S322">
            <v>0</v>
          </cell>
          <cell r="T322" t="str">
            <v>Driver - Reg.</v>
          </cell>
          <cell r="U322" t="str">
            <v>SSC</v>
          </cell>
          <cell r="V322" t="str">
            <v>350S</v>
          </cell>
        </row>
        <row r="323">
          <cell r="B323">
            <v>3173337</v>
          </cell>
          <cell r="C323" t="str">
            <v>5100015</v>
          </cell>
          <cell r="D323" t="str">
            <v>DENNIS, EDRIC</v>
          </cell>
          <cell r="E323" t="str">
            <v>DRIVER</v>
          </cell>
          <cell r="F323" t="str">
            <v>Driver</v>
          </cell>
          <cell r="G323" t="str">
            <v>3</v>
          </cell>
          <cell r="H323" t="str">
            <v>350S</v>
          </cell>
          <cell r="I323">
            <v>39545</v>
          </cell>
          <cell r="J323">
            <v>39545</v>
          </cell>
          <cell r="K323">
            <v>39545</v>
          </cell>
          <cell r="L323" t="str">
            <v>DSP</v>
          </cell>
          <cell r="M323">
            <v>42.23</v>
          </cell>
          <cell r="N323">
            <v>25962</v>
          </cell>
          <cell r="O323">
            <v>627137</v>
          </cell>
          <cell r="P323">
            <v>0</v>
          </cell>
          <cell r="Q323" t="str">
            <v>N</v>
          </cell>
          <cell r="R323">
            <v>0</v>
          </cell>
          <cell r="S323">
            <v>0</v>
          </cell>
          <cell r="T323" t="str">
            <v>Driver - Reg.</v>
          </cell>
          <cell r="U323" t="str">
            <v>SSC</v>
          </cell>
          <cell r="V323" t="str">
            <v>350S</v>
          </cell>
        </row>
        <row r="324">
          <cell r="B324">
            <v>2668071</v>
          </cell>
          <cell r="C324" t="str">
            <v>5100010</v>
          </cell>
          <cell r="D324" t="str">
            <v>HUNG, MABLE M.</v>
          </cell>
          <cell r="E324" t="str">
            <v>CSREP</v>
          </cell>
          <cell r="F324" t="str">
            <v>Customer Service Rep</v>
          </cell>
          <cell r="G324" t="str">
            <v>4</v>
          </cell>
          <cell r="H324" t="str">
            <v>350CLR</v>
          </cell>
          <cell r="I324">
            <v>39559</v>
          </cell>
          <cell r="J324">
            <v>39559</v>
          </cell>
          <cell r="K324">
            <v>39559</v>
          </cell>
          <cell r="L324" t="str">
            <v>OFC</v>
          </cell>
          <cell r="M324">
            <v>29.704999999999998</v>
          </cell>
          <cell r="N324">
            <v>27210</v>
          </cell>
          <cell r="O324">
            <v>627508</v>
          </cell>
          <cell r="P324">
            <v>0</v>
          </cell>
          <cell r="Q324" t="str">
            <v>N</v>
          </cell>
          <cell r="R324">
            <v>0</v>
          </cell>
          <cell r="S324">
            <v>0</v>
          </cell>
          <cell r="T324" t="str">
            <v>350CLR</v>
          </cell>
          <cell r="U324" t="str">
            <v>SSC</v>
          </cell>
          <cell r="V324" t="str">
            <v>350CLR</v>
          </cell>
        </row>
        <row r="325">
          <cell r="B325">
            <v>4036431</v>
          </cell>
          <cell r="C325" t="str">
            <v>5100015</v>
          </cell>
          <cell r="D325" t="str">
            <v>DELLA CELLA, JOHN V.</v>
          </cell>
          <cell r="E325" t="str">
            <v>DRIVER</v>
          </cell>
          <cell r="F325" t="str">
            <v>Driver</v>
          </cell>
          <cell r="G325" t="str">
            <v>3</v>
          </cell>
          <cell r="H325" t="str">
            <v>350S</v>
          </cell>
          <cell r="I325">
            <v>39580</v>
          </cell>
          <cell r="J325">
            <v>39580</v>
          </cell>
          <cell r="K325">
            <v>39580</v>
          </cell>
          <cell r="L325" t="str">
            <v>DSP</v>
          </cell>
          <cell r="M325">
            <v>42.23</v>
          </cell>
          <cell r="N325">
            <v>30060</v>
          </cell>
          <cell r="O325">
            <v>627137</v>
          </cell>
          <cell r="P325">
            <v>0</v>
          </cell>
          <cell r="Q325" t="str">
            <v>N</v>
          </cell>
          <cell r="R325">
            <v>0</v>
          </cell>
          <cell r="S325">
            <v>0</v>
          </cell>
          <cell r="T325" t="str">
            <v>Driver - Reg.</v>
          </cell>
          <cell r="U325" t="str">
            <v>SSC</v>
          </cell>
          <cell r="V325" t="str">
            <v>350S</v>
          </cell>
        </row>
        <row r="326">
          <cell r="B326">
            <v>4164029</v>
          </cell>
          <cell r="C326" t="str">
            <v>5100015</v>
          </cell>
          <cell r="D326" t="str">
            <v>SANTORI, CRAIG A.</v>
          </cell>
          <cell r="E326" t="str">
            <v>DRIVER</v>
          </cell>
          <cell r="F326" t="str">
            <v>Driver</v>
          </cell>
          <cell r="G326" t="str">
            <v>3</v>
          </cell>
          <cell r="H326" t="str">
            <v>350S</v>
          </cell>
          <cell r="I326">
            <v>39625</v>
          </cell>
          <cell r="J326">
            <v>39625</v>
          </cell>
          <cell r="K326">
            <v>39625</v>
          </cell>
          <cell r="L326" t="str">
            <v>DSP</v>
          </cell>
          <cell r="M326">
            <v>42.23</v>
          </cell>
          <cell r="N326">
            <v>26927</v>
          </cell>
          <cell r="O326">
            <v>627137</v>
          </cell>
          <cell r="P326">
            <v>0</v>
          </cell>
          <cell r="Q326" t="str">
            <v>N</v>
          </cell>
          <cell r="R326">
            <v>0</v>
          </cell>
          <cell r="S326">
            <v>0</v>
          </cell>
          <cell r="T326" t="str">
            <v>Driver - Reg.</v>
          </cell>
          <cell r="U326" t="str">
            <v>SSC</v>
          </cell>
          <cell r="V326" t="str">
            <v>350S</v>
          </cell>
        </row>
        <row r="327">
          <cell r="B327">
            <v>4168898</v>
          </cell>
          <cell r="C327" t="str">
            <v>5100015</v>
          </cell>
          <cell r="D327" t="str">
            <v>PEREIRA, DANNY S.</v>
          </cell>
          <cell r="E327" t="str">
            <v>DRIVER</v>
          </cell>
          <cell r="F327" t="str">
            <v>Driver</v>
          </cell>
          <cell r="G327" t="str">
            <v>3</v>
          </cell>
          <cell r="H327" t="str">
            <v>350S</v>
          </cell>
          <cell r="I327">
            <v>39657</v>
          </cell>
          <cell r="J327">
            <v>39657</v>
          </cell>
          <cell r="K327">
            <v>39657</v>
          </cell>
          <cell r="L327" t="str">
            <v>DSP</v>
          </cell>
          <cell r="M327">
            <v>42.23</v>
          </cell>
          <cell r="N327">
            <v>29496</v>
          </cell>
          <cell r="O327">
            <v>627137</v>
          </cell>
          <cell r="P327">
            <v>0</v>
          </cell>
          <cell r="Q327" t="str">
            <v>N</v>
          </cell>
          <cell r="R327">
            <v>0</v>
          </cell>
          <cell r="S327">
            <v>0</v>
          </cell>
          <cell r="T327" t="str">
            <v>Driver - Reg.</v>
          </cell>
          <cell r="U327" t="str">
            <v>SSC</v>
          </cell>
          <cell r="V327" t="str">
            <v>350S</v>
          </cell>
        </row>
        <row r="328">
          <cell r="B328">
            <v>4216159</v>
          </cell>
          <cell r="C328" t="str">
            <v>5100740</v>
          </cell>
          <cell r="D328" t="str">
            <v>BONILLA, CIELO</v>
          </cell>
          <cell r="E328" t="str">
            <v>HRCSB</v>
          </cell>
          <cell r="F328" t="str">
            <v>Subsidiary HR Coordinator</v>
          </cell>
          <cell r="G328">
            <v>0</v>
          </cell>
          <cell r="H328">
            <v>0</v>
          </cell>
          <cell r="I328">
            <v>39699</v>
          </cell>
          <cell r="J328">
            <v>39699</v>
          </cell>
          <cell r="K328">
            <v>39699</v>
          </cell>
          <cell r="L328" t="str">
            <v>GNA</v>
          </cell>
          <cell r="M328">
            <v>25.695</v>
          </cell>
          <cell r="N328">
            <v>25953</v>
          </cell>
          <cell r="O328">
            <v>99637</v>
          </cell>
          <cell r="P328" t="str">
            <v>18</v>
          </cell>
          <cell r="Q328" t="str">
            <v>N</v>
          </cell>
          <cell r="R328">
            <v>0</v>
          </cell>
          <cell r="S328">
            <v>0</v>
          </cell>
          <cell r="T328" t="str">
            <v>NonEx</v>
          </cell>
          <cell r="U328" t="str">
            <v>SSC</v>
          </cell>
          <cell r="V328" t="str">
            <v>NonEx</v>
          </cell>
        </row>
        <row r="329">
          <cell r="B329">
            <v>4380573</v>
          </cell>
          <cell r="C329" t="str">
            <v>5100014</v>
          </cell>
          <cell r="D329" t="str">
            <v>GORELNIK, RICHARD H.</v>
          </cell>
          <cell r="E329" t="str">
            <v>RTMPS</v>
          </cell>
          <cell r="F329" t="str">
            <v>Route Mapping Specialist</v>
          </cell>
          <cell r="G329">
            <v>0</v>
          </cell>
          <cell r="H329">
            <v>0</v>
          </cell>
          <cell r="I329">
            <v>39939</v>
          </cell>
          <cell r="J329">
            <v>39939</v>
          </cell>
          <cell r="K329">
            <v>39939</v>
          </cell>
          <cell r="L329">
            <v>0</v>
          </cell>
          <cell r="M329">
            <v>24.484999999999999</v>
          </cell>
          <cell r="N329">
            <v>20822</v>
          </cell>
          <cell r="O329">
            <v>627137</v>
          </cell>
          <cell r="P329" t="str">
            <v>18</v>
          </cell>
          <cell r="Q329" t="str">
            <v>N</v>
          </cell>
          <cell r="R329">
            <v>0</v>
          </cell>
          <cell r="S329">
            <v>0</v>
          </cell>
          <cell r="T329" t="str">
            <v>NonEx</v>
          </cell>
          <cell r="U329" t="str">
            <v>SSC</v>
          </cell>
          <cell r="V329" t="str">
            <v>NonEx</v>
          </cell>
        </row>
        <row r="330">
          <cell r="B330">
            <v>2391236</v>
          </cell>
          <cell r="C330" t="str">
            <v>5100015</v>
          </cell>
          <cell r="D330" t="str">
            <v>CHAVEZ, ANTONIO B.</v>
          </cell>
          <cell r="E330" t="str">
            <v>DRIVER</v>
          </cell>
          <cell r="F330" t="str">
            <v>Driver</v>
          </cell>
          <cell r="G330" t="str">
            <v>3</v>
          </cell>
          <cell r="H330" t="str">
            <v>350S</v>
          </cell>
          <cell r="I330">
            <v>39167</v>
          </cell>
          <cell r="J330">
            <v>39167</v>
          </cell>
          <cell r="K330">
            <v>40007</v>
          </cell>
          <cell r="L330" t="str">
            <v>DSP</v>
          </cell>
          <cell r="M330">
            <v>42.23</v>
          </cell>
          <cell r="N330">
            <v>29253</v>
          </cell>
          <cell r="O330">
            <v>627137</v>
          </cell>
          <cell r="P330">
            <v>0</v>
          </cell>
          <cell r="Q330" t="str">
            <v>N</v>
          </cell>
          <cell r="R330">
            <v>0</v>
          </cell>
          <cell r="S330">
            <v>0</v>
          </cell>
          <cell r="T330" t="str">
            <v>Driver - Reg.</v>
          </cell>
          <cell r="U330" t="str">
            <v>SSC</v>
          </cell>
          <cell r="V330" t="str">
            <v>350S</v>
          </cell>
        </row>
        <row r="331">
          <cell r="B331">
            <v>4007091</v>
          </cell>
          <cell r="C331" t="str">
            <v>5100015</v>
          </cell>
          <cell r="D331" t="str">
            <v>TIPTON, TERRANCE L.</v>
          </cell>
          <cell r="E331" t="str">
            <v>DRIVER</v>
          </cell>
          <cell r="F331" t="str">
            <v>Driver</v>
          </cell>
          <cell r="G331" t="str">
            <v>3</v>
          </cell>
          <cell r="H331" t="str">
            <v>350S</v>
          </cell>
          <cell r="I331">
            <v>39678</v>
          </cell>
          <cell r="J331">
            <v>39678</v>
          </cell>
          <cell r="K331">
            <v>40007</v>
          </cell>
          <cell r="L331" t="str">
            <v>DSP</v>
          </cell>
          <cell r="M331">
            <v>42.23</v>
          </cell>
          <cell r="N331">
            <v>25361</v>
          </cell>
          <cell r="O331">
            <v>627137</v>
          </cell>
          <cell r="P331">
            <v>0</v>
          </cell>
          <cell r="Q331" t="str">
            <v>N</v>
          </cell>
          <cell r="R331">
            <v>0</v>
          </cell>
          <cell r="S331">
            <v>0</v>
          </cell>
          <cell r="T331" t="str">
            <v>Driver - Reg.</v>
          </cell>
          <cell r="U331" t="str">
            <v>SSC</v>
          </cell>
          <cell r="V331" t="str">
            <v>350S</v>
          </cell>
        </row>
        <row r="332">
          <cell r="B332">
            <v>4091827</v>
          </cell>
          <cell r="C332" t="str">
            <v>5100015</v>
          </cell>
          <cell r="D332" t="str">
            <v>STANDART, JOHN M.</v>
          </cell>
          <cell r="E332" t="str">
            <v>DRIVER</v>
          </cell>
          <cell r="F332" t="str">
            <v>Driver</v>
          </cell>
          <cell r="G332" t="str">
            <v>3</v>
          </cell>
          <cell r="H332" t="str">
            <v>350S</v>
          </cell>
          <cell r="I332">
            <v>39693</v>
          </cell>
          <cell r="J332">
            <v>39693</v>
          </cell>
          <cell r="K332">
            <v>40007</v>
          </cell>
          <cell r="L332" t="str">
            <v>DSP</v>
          </cell>
          <cell r="M332">
            <v>42.23</v>
          </cell>
          <cell r="N332">
            <v>22203</v>
          </cell>
          <cell r="O332">
            <v>627137</v>
          </cell>
          <cell r="P332">
            <v>0</v>
          </cell>
          <cell r="Q332" t="str">
            <v>N</v>
          </cell>
          <cell r="R332">
            <v>0</v>
          </cell>
          <cell r="S332">
            <v>0</v>
          </cell>
          <cell r="T332" t="str">
            <v>Driver - Reg.</v>
          </cell>
          <cell r="U332" t="str">
            <v>SSC</v>
          </cell>
          <cell r="V332" t="str">
            <v>350S</v>
          </cell>
        </row>
        <row r="333">
          <cell r="B333">
            <v>3565630</v>
          </cell>
          <cell r="C333" t="str">
            <v>5100015</v>
          </cell>
          <cell r="D333" t="str">
            <v>WILLIAMSON, BRANDON D.</v>
          </cell>
          <cell r="E333" t="str">
            <v>DRIVER</v>
          </cell>
          <cell r="F333" t="str">
            <v>Driver</v>
          </cell>
          <cell r="G333" t="str">
            <v>3</v>
          </cell>
          <cell r="H333" t="str">
            <v>350S</v>
          </cell>
          <cell r="I333">
            <v>39307</v>
          </cell>
          <cell r="J333">
            <v>39307</v>
          </cell>
          <cell r="K333">
            <v>40009</v>
          </cell>
          <cell r="L333" t="str">
            <v>DSP</v>
          </cell>
          <cell r="M333">
            <v>42.23</v>
          </cell>
          <cell r="N333">
            <v>29222</v>
          </cell>
          <cell r="O333">
            <v>627137</v>
          </cell>
          <cell r="P333">
            <v>0</v>
          </cell>
          <cell r="Q333" t="str">
            <v>N</v>
          </cell>
          <cell r="R333">
            <v>0</v>
          </cell>
          <cell r="S333">
            <v>0</v>
          </cell>
          <cell r="T333" t="str">
            <v>Driver - Reg.</v>
          </cell>
          <cell r="U333" t="str">
            <v>SSC</v>
          </cell>
          <cell r="V333" t="str">
            <v>350S</v>
          </cell>
        </row>
        <row r="334">
          <cell r="B334">
            <v>3591096</v>
          </cell>
          <cell r="C334" t="str">
            <v>5100015</v>
          </cell>
          <cell r="D334" t="str">
            <v>HERNANDEZ, EFRAIN</v>
          </cell>
          <cell r="E334" t="str">
            <v>DRIVER</v>
          </cell>
          <cell r="F334" t="str">
            <v>Driver</v>
          </cell>
          <cell r="G334" t="str">
            <v>3</v>
          </cell>
          <cell r="H334" t="str">
            <v>350S</v>
          </cell>
          <cell r="I334">
            <v>39322</v>
          </cell>
          <cell r="J334">
            <v>39322</v>
          </cell>
          <cell r="K334">
            <v>40010</v>
          </cell>
          <cell r="L334" t="str">
            <v>DSP</v>
          </cell>
          <cell r="M334">
            <v>42.23</v>
          </cell>
          <cell r="N334">
            <v>32123</v>
          </cell>
          <cell r="O334">
            <v>627137</v>
          </cell>
          <cell r="P334">
            <v>0</v>
          </cell>
          <cell r="Q334" t="str">
            <v>N</v>
          </cell>
          <cell r="R334">
            <v>0</v>
          </cell>
          <cell r="S334">
            <v>0</v>
          </cell>
          <cell r="T334" t="str">
            <v>Driver - Reg.</v>
          </cell>
          <cell r="U334" t="str">
            <v>SSC</v>
          </cell>
          <cell r="V334" t="str">
            <v>350S</v>
          </cell>
        </row>
        <row r="335">
          <cell r="B335">
            <v>4426551</v>
          </cell>
          <cell r="C335" t="str">
            <v>5100010</v>
          </cell>
          <cell r="D335" t="str">
            <v>LEE, JUNE</v>
          </cell>
          <cell r="E335" t="str">
            <v>CSREP</v>
          </cell>
          <cell r="F335" t="str">
            <v>Customer Service Rep</v>
          </cell>
          <cell r="G335" t="str">
            <v>4</v>
          </cell>
          <cell r="H335" t="str">
            <v>350CLR</v>
          </cell>
          <cell r="I335">
            <v>40091</v>
          </cell>
          <cell r="J335">
            <v>40091</v>
          </cell>
          <cell r="K335">
            <v>40091</v>
          </cell>
          <cell r="L335" t="str">
            <v>OFC</v>
          </cell>
          <cell r="M335">
            <v>29.704999999999998</v>
          </cell>
          <cell r="N335">
            <v>23457</v>
          </cell>
          <cell r="O335">
            <v>627508</v>
          </cell>
          <cell r="P335">
            <v>0</v>
          </cell>
          <cell r="Q335" t="str">
            <v>N</v>
          </cell>
          <cell r="R335">
            <v>0</v>
          </cell>
          <cell r="S335">
            <v>0</v>
          </cell>
          <cell r="T335" t="str">
            <v>350CLR</v>
          </cell>
          <cell r="U335" t="str">
            <v>SSC</v>
          </cell>
          <cell r="V335" t="str">
            <v>350CLR</v>
          </cell>
        </row>
        <row r="336">
          <cell r="B336">
            <v>4426501</v>
          </cell>
          <cell r="C336" t="str">
            <v>5100010</v>
          </cell>
          <cell r="D336" t="str">
            <v>BROUSSARD, NANCY</v>
          </cell>
          <cell r="E336" t="str">
            <v>CSREP</v>
          </cell>
          <cell r="F336" t="str">
            <v>Customer Service Rep</v>
          </cell>
          <cell r="G336" t="str">
            <v>4</v>
          </cell>
          <cell r="H336" t="str">
            <v>350CLR</v>
          </cell>
          <cell r="I336">
            <v>40106</v>
          </cell>
          <cell r="J336">
            <v>40106</v>
          </cell>
          <cell r="K336">
            <v>40106</v>
          </cell>
          <cell r="L336" t="str">
            <v>OFC</v>
          </cell>
          <cell r="M336">
            <v>29.704999999999998</v>
          </cell>
          <cell r="N336">
            <v>25130</v>
          </cell>
          <cell r="O336">
            <v>627508</v>
          </cell>
          <cell r="P336">
            <v>0</v>
          </cell>
          <cell r="Q336" t="str">
            <v>N</v>
          </cell>
          <cell r="R336">
            <v>0</v>
          </cell>
          <cell r="S336">
            <v>0</v>
          </cell>
          <cell r="T336" t="str">
            <v>350CLR</v>
          </cell>
          <cell r="U336" t="str">
            <v>SSC</v>
          </cell>
          <cell r="V336" t="str">
            <v>350CLR</v>
          </cell>
        </row>
        <row r="337">
          <cell r="B337">
            <v>4450404</v>
          </cell>
          <cell r="C337" t="str">
            <v>5100510</v>
          </cell>
          <cell r="D337" t="str">
            <v>MCGREW, JAMES L.</v>
          </cell>
          <cell r="E337" t="str">
            <v>MECH</v>
          </cell>
          <cell r="F337" t="str">
            <v>Mechanic</v>
          </cell>
          <cell r="G337" t="str">
            <v>3</v>
          </cell>
          <cell r="H337" t="str">
            <v>350S</v>
          </cell>
          <cell r="I337">
            <v>40136</v>
          </cell>
          <cell r="J337">
            <v>40136</v>
          </cell>
          <cell r="K337">
            <v>40136</v>
          </cell>
          <cell r="L337" t="str">
            <v>SH2</v>
          </cell>
          <cell r="M337">
            <v>43.26</v>
          </cell>
          <cell r="N337">
            <v>29796</v>
          </cell>
          <cell r="O337">
            <v>648202</v>
          </cell>
          <cell r="P337">
            <v>0</v>
          </cell>
          <cell r="Q337" t="str">
            <v>N</v>
          </cell>
          <cell r="R337">
            <v>0</v>
          </cell>
          <cell r="S337">
            <v>0</v>
          </cell>
          <cell r="T337" t="str">
            <v>350S</v>
          </cell>
          <cell r="U337" t="str">
            <v>SSC</v>
          </cell>
          <cell r="V337" t="str">
            <v>350S</v>
          </cell>
        </row>
        <row r="338">
          <cell r="B338">
            <v>706337</v>
          </cell>
          <cell r="C338" t="str">
            <v>5100014</v>
          </cell>
          <cell r="D338" t="str">
            <v>HANKE, ROBERT M.</v>
          </cell>
          <cell r="E338" t="str">
            <v>OPSMG</v>
          </cell>
          <cell r="F338" t="str">
            <v>Operations Manager</v>
          </cell>
          <cell r="G338" t="str">
            <v>2</v>
          </cell>
          <cell r="H338">
            <v>0</v>
          </cell>
          <cell r="I338">
            <v>37515</v>
          </cell>
          <cell r="J338">
            <v>37515</v>
          </cell>
          <cell r="K338">
            <v>40217</v>
          </cell>
          <cell r="L338" t="str">
            <v>MG2</v>
          </cell>
          <cell r="M338">
            <v>40.686</v>
          </cell>
          <cell r="N338">
            <v>25687</v>
          </cell>
          <cell r="O338">
            <v>627137</v>
          </cell>
          <cell r="P338" t="str">
            <v>23</v>
          </cell>
          <cell r="Q338" t="str">
            <v>Y</v>
          </cell>
          <cell r="R338">
            <v>0</v>
          </cell>
          <cell r="S338">
            <v>0</v>
          </cell>
          <cell r="T338" t="str">
            <v>NonU</v>
          </cell>
          <cell r="U338" t="str">
            <v>SSC</v>
          </cell>
          <cell r="V338" t="str">
            <v>NonU</v>
          </cell>
        </row>
        <row r="339">
          <cell r="B339">
            <v>768001</v>
          </cell>
          <cell r="C339" t="str">
            <v>5100015</v>
          </cell>
          <cell r="D339" t="str">
            <v>MCKEE, RYAN J.</v>
          </cell>
          <cell r="E339" t="str">
            <v>DRIVER</v>
          </cell>
          <cell r="F339" t="str">
            <v>Driver</v>
          </cell>
          <cell r="G339" t="str">
            <v>3</v>
          </cell>
          <cell r="H339" t="str">
            <v>350S</v>
          </cell>
          <cell r="I339">
            <v>37750</v>
          </cell>
          <cell r="J339">
            <v>37750</v>
          </cell>
          <cell r="K339">
            <v>40273</v>
          </cell>
          <cell r="L339" t="str">
            <v>DSP</v>
          </cell>
          <cell r="M339">
            <v>42.23</v>
          </cell>
          <cell r="N339">
            <v>25512</v>
          </cell>
          <cell r="O339">
            <v>627137</v>
          </cell>
          <cell r="P339">
            <v>0</v>
          </cell>
          <cell r="Q339" t="str">
            <v>N</v>
          </cell>
          <cell r="R339">
            <v>0</v>
          </cell>
          <cell r="S339">
            <v>0</v>
          </cell>
          <cell r="T339" t="str">
            <v>Driver - Reg.</v>
          </cell>
          <cell r="U339" t="str">
            <v>SSC</v>
          </cell>
          <cell r="V339" t="str">
            <v>350S</v>
          </cell>
        </row>
        <row r="340">
          <cell r="B340">
            <v>3935856</v>
          </cell>
          <cell r="C340" t="str">
            <v>5100015</v>
          </cell>
          <cell r="D340" t="str">
            <v>MEDINA, RAMON A.</v>
          </cell>
          <cell r="E340" t="str">
            <v>DRIVER</v>
          </cell>
          <cell r="F340" t="str">
            <v>Driver</v>
          </cell>
          <cell r="G340" t="str">
            <v>3</v>
          </cell>
          <cell r="H340" t="str">
            <v>350S</v>
          </cell>
          <cell r="I340">
            <v>39643</v>
          </cell>
          <cell r="J340">
            <v>39643</v>
          </cell>
          <cell r="K340">
            <v>40273</v>
          </cell>
          <cell r="L340" t="str">
            <v>DSP</v>
          </cell>
          <cell r="M340">
            <v>42.23</v>
          </cell>
          <cell r="N340">
            <v>25739</v>
          </cell>
          <cell r="O340">
            <v>627137</v>
          </cell>
          <cell r="P340">
            <v>0</v>
          </cell>
          <cell r="Q340" t="str">
            <v>N</v>
          </cell>
          <cell r="R340">
            <v>0</v>
          </cell>
          <cell r="S340">
            <v>0</v>
          </cell>
          <cell r="T340" t="str">
            <v>Driver - Reg.</v>
          </cell>
          <cell r="U340" t="str">
            <v>SSC</v>
          </cell>
          <cell r="V340" t="str">
            <v>350S</v>
          </cell>
        </row>
        <row r="341">
          <cell r="B341">
            <v>4132465</v>
          </cell>
          <cell r="C341" t="str">
            <v>5100015</v>
          </cell>
          <cell r="D341" t="str">
            <v>BRITTO, SHAWN I.</v>
          </cell>
          <cell r="E341" t="str">
            <v>DRIVER</v>
          </cell>
          <cell r="F341" t="str">
            <v>Driver</v>
          </cell>
          <cell r="G341" t="str">
            <v>3</v>
          </cell>
          <cell r="H341" t="str">
            <v>350S</v>
          </cell>
          <cell r="I341">
            <v>39636</v>
          </cell>
          <cell r="J341">
            <v>39636</v>
          </cell>
          <cell r="K341">
            <v>40273</v>
          </cell>
          <cell r="L341" t="str">
            <v>DSP</v>
          </cell>
          <cell r="M341">
            <v>42.23</v>
          </cell>
          <cell r="N341">
            <v>26747</v>
          </cell>
          <cell r="O341">
            <v>627137</v>
          </cell>
          <cell r="P341">
            <v>0</v>
          </cell>
          <cell r="Q341" t="str">
            <v>N</v>
          </cell>
          <cell r="R341">
            <v>0</v>
          </cell>
          <cell r="S341">
            <v>0</v>
          </cell>
          <cell r="T341" t="str">
            <v>Driver - Reg.</v>
          </cell>
          <cell r="U341" t="str">
            <v>SSC</v>
          </cell>
          <cell r="V341" t="str">
            <v>350S</v>
          </cell>
        </row>
        <row r="342">
          <cell r="B342">
            <v>4532354</v>
          </cell>
          <cell r="C342" t="str">
            <v>5100014</v>
          </cell>
          <cell r="D342" t="str">
            <v>PATEL, AIJAZ</v>
          </cell>
          <cell r="E342" t="str">
            <v>RTMPS</v>
          </cell>
          <cell r="F342" t="str">
            <v>Route Mapping Specialist</v>
          </cell>
          <cell r="G342">
            <v>0</v>
          </cell>
          <cell r="H342">
            <v>0</v>
          </cell>
          <cell r="I342">
            <v>40315</v>
          </cell>
          <cell r="J342">
            <v>40651</v>
          </cell>
          <cell r="K342">
            <v>40315</v>
          </cell>
          <cell r="L342">
            <v>0</v>
          </cell>
          <cell r="M342">
            <v>25.875</v>
          </cell>
          <cell r="N342">
            <v>31081</v>
          </cell>
          <cell r="O342">
            <v>627137</v>
          </cell>
          <cell r="P342" t="str">
            <v>18</v>
          </cell>
          <cell r="Q342" t="str">
            <v>N</v>
          </cell>
          <cell r="R342">
            <v>0</v>
          </cell>
          <cell r="S342">
            <v>0</v>
          </cell>
          <cell r="T342" t="str">
            <v>NonEx</v>
          </cell>
          <cell r="U342" t="str">
            <v>SSC</v>
          </cell>
          <cell r="V342" t="str">
            <v>NonEx</v>
          </cell>
        </row>
        <row r="343">
          <cell r="B343">
            <v>83379</v>
          </cell>
          <cell r="C343" t="str">
            <v>5100015</v>
          </cell>
          <cell r="D343" t="str">
            <v>MEIER, AARON</v>
          </cell>
          <cell r="E343" t="str">
            <v>DRIVER</v>
          </cell>
          <cell r="F343" t="str">
            <v>Driver</v>
          </cell>
          <cell r="G343" t="str">
            <v>3</v>
          </cell>
          <cell r="H343" t="str">
            <v>350S</v>
          </cell>
          <cell r="I343">
            <v>34461</v>
          </cell>
          <cell r="J343">
            <v>38905</v>
          </cell>
          <cell r="K343">
            <v>40322</v>
          </cell>
          <cell r="L343" t="str">
            <v>DSP</v>
          </cell>
          <cell r="M343">
            <v>42.23</v>
          </cell>
          <cell r="N343">
            <v>25312</v>
          </cell>
          <cell r="O343">
            <v>627137</v>
          </cell>
          <cell r="P343">
            <v>0</v>
          </cell>
          <cell r="Q343" t="str">
            <v>N</v>
          </cell>
          <cell r="R343">
            <v>0</v>
          </cell>
          <cell r="S343">
            <v>0</v>
          </cell>
          <cell r="T343" t="str">
            <v>Driver - Reg.</v>
          </cell>
          <cell r="U343" t="str">
            <v>SSC</v>
          </cell>
          <cell r="V343" t="str">
            <v>350S</v>
          </cell>
        </row>
        <row r="344">
          <cell r="B344">
            <v>453384</v>
          </cell>
          <cell r="C344" t="str">
            <v>5100015</v>
          </cell>
          <cell r="D344" t="str">
            <v>RAMIREZ, RICARDO</v>
          </cell>
          <cell r="E344" t="str">
            <v>DRIVER</v>
          </cell>
          <cell r="F344" t="str">
            <v>Driver</v>
          </cell>
          <cell r="G344" t="str">
            <v>3</v>
          </cell>
          <cell r="H344" t="str">
            <v>350S</v>
          </cell>
          <cell r="I344">
            <v>36466</v>
          </cell>
          <cell r="J344">
            <v>36466</v>
          </cell>
          <cell r="K344">
            <v>40322</v>
          </cell>
          <cell r="L344" t="str">
            <v>DSP</v>
          </cell>
          <cell r="M344">
            <v>42.23</v>
          </cell>
          <cell r="N344">
            <v>27001</v>
          </cell>
          <cell r="O344">
            <v>627137</v>
          </cell>
          <cell r="P344">
            <v>0</v>
          </cell>
          <cell r="Q344" t="str">
            <v>N</v>
          </cell>
          <cell r="R344">
            <v>0</v>
          </cell>
          <cell r="S344">
            <v>0</v>
          </cell>
          <cell r="T344" t="str">
            <v>Driver - Reg.</v>
          </cell>
          <cell r="U344" t="str">
            <v>SSC</v>
          </cell>
          <cell r="V344" t="str">
            <v>350S</v>
          </cell>
        </row>
        <row r="345">
          <cell r="B345">
            <v>1786148</v>
          </cell>
          <cell r="C345" t="str">
            <v>5100015</v>
          </cell>
          <cell r="D345" t="str">
            <v>ROJAS, MIGUEL R.</v>
          </cell>
          <cell r="E345" t="str">
            <v>DRIVER</v>
          </cell>
          <cell r="F345" t="str">
            <v>Driver</v>
          </cell>
          <cell r="G345" t="str">
            <v>3</v>
          </cell>
          <cell r="H345" t="str">
            <v>350S</v>
          </cell>
          <cell r="I345">
            <v>38639</v>
          </cell>
          <cell r="J345">
            <v>38639</v>
          </cell>
          <cell r="K345">
            <v>40322</v>
          </cell>
          <cell r="L345" t="str">
            <v>DSP</v>
          </cell>
          <cell r="M345">
            <v>42.23</v>
          </cell>
          <cell r="N345">
            <v>26871</v>
          </cell>
          <cell r="O345">
            <v>627137</v>
          </cell>
          <cell r="P345">
            <v>0</v>
          </cell>
          <cell r="Q345" t="str">
            <v>N</v>
          </cell>
          <cell r="R345">
            <v>0</v>
          </cell>
          <cell r="S345">
            <v>0</v>
          </cell>
          <cell r="T345" t="str">
            <v>Driver - Reg.</v>
          </cell>
          <cell r="U345" t="str">
            <v>SSC</v>
          </cell>
          <cell r="V345" t="str">
            <v>350S</v>
          </cell>
        </row>
        <row r="346">
          <cell r="B346">
            <v>4482377</v>
          </cell>
          <cell r="C346" t="str">
            <v>5100015</v>
          </cell>
          <cell r="D346" t="str">
            <v>PONCE, LISANDRO</v>
          </cell>
          <cell r="E346" t="str">
            <v>DRIVER</v>
          </cell>
          <cell r="F346" t="str">
            <v>Driver</v>
          </cell>
          <cell r="G346" t="str">
            <v>3</v>
          </cell>
          <cell r="H346" t="str">
            <v>350S</v>
          </cell>
          <cell r="I346">
            <v>40218</v>
          </cell>
          <cell r="J346">
            <v>40218</v>
          </cell>
          <cell r="K346">
            <v>40322</v>
          </cell>
          <cell r="L346" t="str">
            <v>DSP</v>
          </cell>
          <cell r="M346">
            <v>42.23</v>
          </cell>
          <cell r="N346">
            <v>29555</v>
          </cell>
          <cell r="O346">
            <v>627137</v>
          </cell>
          <cell r="P346">
            <v>0</v>
          </cell>
          <cell r="Q346" t="str">
            <v>N</v>
          </cell>
          <cell r="R346">
            <v>0</v>
          </cell>
          <cell r="S346">
            <v>0</v>
          </cell>
          <cell r="T346" t="str">
            <v>Driver - Reg.</v>
          </cell>
          <cell r="U346" t="str">
            <v>SSC</v>
          </cell>
          <cell r="V346" t="str">
            <v>350S</v>
          </cell>
        </row>
        <row r="347">
          <cell r="B347">
            <v>4540098</v>
          </cell>
          <cell r="C347" t="str">
            <v>5100015</v>
          </cell>
          <cell r="D347" t="str">
            <v>FALK, BRENDON C.</v>
          </cell>
          <cell r="E347" t="str">
            <v>DRIVER</v>
          </cell>
          <cell r="F347" t="str">
            <v>Driver</v>
          </cell>
          <cell r="G347" t="str">
            <v>3</v>
          </cell>
          <cell r="H347" t="str">
            <v>350S</v>
          </cell>
          <cell r="I347">
            <v>40330</v>
          </cell>
          <cell r="J347">
            <v>40330</v>
          </cell>
          <cell r="K347">
            <v>40330</v>
          </cell>
          <cell r="L347" t="str">
            <v>DSP</v>
          </cell>
          <cell r="M347">
            <v>42.23</v>
          </cell>
          <cell r="N347">
            <v>32050</v>
          </cell>
          <cell r="O347">
            <v>627137</v>
          </cell>
          <cell r="P347">
            <v>0</v>
          </cell>
          <cell r="Q347" t="str">
            <v>N</v>
          </cell>
          <cell r="R347">
            <v>0</v>
          </cell>
          <cell r="S347">
            <v>0</v>
          </cell>
          <cell r="T347" t="str">
            <v>Driver - Reg.</v>
          </cell>
          <cell r="U347" t="str">
            <v>SSC</v>
          </cell>
          <cell r="V347" t="str">
            <v>350S</v>
          </cell>
        </row>
        <row r="348">
          <cell r="B348">
            <v>4541841</v>
          </cell>
          <cell r="C348" t="str">
            <v>5100014</v>
          </cell>
          <cell r="D348" t="str">
            <v>JUAN, RYAN C.</v>
          </cell>
          <cell r="E348" t="str">
            <v>RTEMS</v>
          </cell>
          <cell r="F348" t="str">
            <v>Route Maintenance Specialist</v>
          </cell>
          <cell r="G348" t="str">
            <v>1</v>
          </cell>
          <cell r="H348">
            <v>0</v>
          </cell>
          <cell r="I348">
            <v>40343</v>
          </cell>
          <cell r="J348">
            <v>40651</v>
          </cell>
          <cell r="K348">
            <v>40343</v>
          </cell>
          <cell r="L348" t="str">
            <v>DSP</v>
          </cell>
          <cell r="M348">
            <v>25.875</v>
          </cell>
          <cell r="N348">
            <v>30337</v>
          </cell>
          <cell r="O348">
            <v>450175</v>
          </cell>
          <cell r="P348" t="str">
            <v>17</v>
          </cell>
          <cell r="Q348" t="str">
            <v>N</v>
          </cell>
          <cell r="R348">
            <v>0</v>
          </cell>
          <cell r="S348">
            <v>0</v>
          </cell>
          <cell r="T348" t="str">
            <v>NonEx</v>
          </cell>
          <cell r="U348" t="str">
            <v>SSC</v>
          </cell>
          <cell r="V348" t="str">
            <v>NonEx</v>
          </cell>
        </row>
        <row r="349">
          <cell r="B349">
            <v>4550528</v>
          </cell>
          <cell r="C349" t="str">
            <v>5100812</v>
          </cell>
          <cell r="D349" t="str">
            <v>NELSON, DEREK A.</v>
          </cell>
          <cell r="E349" t="str">
            <v>SFTRN</v>
          </cell>
          <cell r="F349" t="str">
            <v>Safety Trainer</v>
          </cell>
          <cell r="G349">
            <v>0</v>
          </cell>
          <cell r="H349">
            <v>0</v>
          </cell>
          <cell r="I349">
            <v>40357</v>
          </cell>
          <cell r="J349">
            <v>40357</v>
          </cell>
          <cell r="K349">
            <v>40357</v>
          </cell>
          <cell r="L349">
            <v>0</v>
          </cell>
          <cell r="M349">
            <v>35.188000000000002</v>
          </cell>
          <cell r="N349">
            <v>29829</v>
          </cell>
          <cell r="O349">
            <v>465529</v>
          </cell>
          <cell r="P349" t="str">
            <v>21</v>
          </cell>
          <cell r="Q349" t="str">
            <v>Y</v>
          </cell>
          <cell r="R349">
            <v>0</v>
          </cell>
          <cell r="S349">
            <v>0</v>
          </cell>
          <cell r="T349" t="str">
            <v>NonU</v>
          </cell>
          <cell r="U349" t="str">
            <v>SSC</v>
          </cell>
          <cell r="V349" t="str">
            <v>NonU</v>
          </cell>
        </row>
        <row r="350">
          <cell r="B350">
            <v>4557332</v>
          </cell>
          <cell r="C350" t="str">
            <v>5100014</v>
          </cell>
          <cell r="D350" t="str">
            <v>GRAYS, NOHELANI CH.</v>
          </cell>
          <cell r="E350" t="str">
            <v>RTEMS</v>
          </cell>
          <cell r="F350" t="str">
            <v>Route Maintenance Specialist</v>
          </cell>
          <cell r="G350" t="str">
            <v>1</v>
          </cell>
          <cell r="H350">
            <v>0</v>
          </cell>
          <cell r="I350">
            <v>40368</v>
          </cell>
          <cell r="J350">
            <v>40819</v>
          </cell>
          <cell r="K350">
            <v>40368</v>
          </cell>
          <cell r="L350" t="str">
            <v>DSP</v>
          </cell>
          <cell r="M350">
            <v>25.875</v>
          </cell>
          <cell r="N350">
            <v>30523</v>
          </cell>
          <cell r="O350">
            <v>450175</v>
          </cell>
          <cell r="P350" t="str">
            <v>17</v>
          </cell>
          <cell r="Q350" t="str">
            <v>N</v>
          </cell>
          <cell r="R350">
            <v>0</v>
          </cell>
          <cell r="S350">
            <v>0</v>
          </cell>
          <cell r="T350" t="str">
            <v>NonEx</v>
          </cell>
          <cell r="U350" t="str">
            <v>SSC</v>
          </cell>
          <cell r="V350" t="str">
            <v>NonEx</v>
          </cell>
        </row>
        <row r="351">
          <cell r="B351">
            <v>4557341</v>
          </cell>
          <cell r="C351" t="str">
            <v>5100014</v>
          </cell>
          <cell r="D351" t="str">
            <v>CHAN, MIMI M.</v>
          </cell>
          <cell r="E351" t="str">
            <v>RTEMS</v>
          </cell>
          <cell r="F351" t="str">
            <v>Route Maintenance Specialist</v>
          </cell>
          <cell r="G351" t="str">
            <v>1</v>
          </cell>
          <cell r="H351">
            <v>0</v>
          </cell>
          <cell r="I351">
            <v>40368</v>
          </cell>
          <cell r="J351">
            <v>40651</v>
          </cell>
          <cell r="K351">
            <v>40368</v>
          </cell>
          <cell r="L351" t="str">
            <v>DSP</v>
          </cell>
          <cell r="M351">
            <v>25.875</v>
          </cell>
          <cell r="N351">
            <v>26810</v>
          </cell>
          <cell r="O351">
            <v>450175</v>
          </cell>
          <cell r="P351" t="str">
            <v>17</v>
          </cell>
          <cell r="Q351" t="str">
            <v>N</v>
          </cell>
          <cell r="R351">
            <v>0</v>
          </cell>
          <cell r="S351">
            <v>0</v>
          </cell>
          <cell r="T351" t="str">
            <v>NonEx</v>
          </cell>
          <cell r="U351" t="str">
            <v>SSC</v>
          </cell>
          <cell r="V351" t="str">
            <v>NonEx</v>
          </cell>
        </row>
        <row r="352">
          <cell r="B352">
            <v>4570191</v>
          </cell>
          <cell r="C352" t="str">
            <v>5100010</v>
          </cell>
          <cell r="D352" t="str">
            <v>BULATAO, GLORIA E.</v>
          </cell>
          <cell r="E352" t="str">
            <v>CSREP</v>
          </cell>
          <cell r="F352" t="str">
            <v>Customer Service Rep</v>
          </cell>
          <cell r="G352" t="str">
            <v>4</v>
          </cell>
          <cell r="H352" t="str">
            <v>350CLR</v>
          </cell>
          <cell r="I352">
            <v>40393</v>
          </cell>
          <cell r="J352">
            <v>40393</v>
          </cell>
          <cell r="K352">
            <v>40393</v>
          </cell>
          <cell r="L352" t="str">
            <v>OFC</v>
          </cell>
          <cell r="M352">
            <v>29.704999999999998</v>
          </cell>
          <cell r="N352">
            <v>21287</v>
          </cell>
          <cell r="O352">
            <v>627508</v>
          </cell>
          <cell r="P352">
            <v>0</v>
          </cell>
          <cell r="Q352" t="str">
            <v>N</v>
          </cell>
          <cell r="R352">
            <v>0</v>
          </cell>
          <cell r="S352">
            <v>0</v>
          </cell>
          <cell r="T352" t="str">
            <v>350CLR</v>
          </cell>
          <cell r="U352" t="str">
            <v>SSC</v>
          </cell>
          <cell r="V352" t="str">
            <v>350CLR</v>
          </cell>
        </row>
        <row r="353">
          <cell r="B353">
            <v>4570246</v>
          </cell>
          <cell r="C353" t="str">
            <v>5100010</v>
          </cell>
          <cell r="D353" t="str">
            <v>GOEBEL, ANGELA M.</v>
          </cell>
          <cell r="E353" t="str">
            <v>CSREP</v>
          </cell>
          <cell r="F353" t="str">
            <v>Customer Service Rep</v>
          </cell>
          <cell r="G353" t="str">
            <v>4</v>
          </cell>
          <cell r="H353" t="str">
            <v>350CLR</v>
          </cell>
          <cell r="I353">
            <v>40395</v>
          </cell>
          <cell r="J353">
            <v>40395</v>
          </cell>
          <cell r="K353">
            <v>40395</v>
          </cell>
          <cell r="L353" t="str">
            <v>OFC</v>
          </cell>
          <cell r="M353">
            <v>29.704999999999998</v>
          </cell>
          <cell r="N353">
            <v>31946</v>
          </cell>
          <cell r="O353">
            <v>627508</v>
          </cell>
          <cell r="P353">
            <v>0</v>
          </cell>
          <cell r="Q353" t="str">
            <v>N</v>
          </cell>
          <cell r="R353">
            <v>0</v>
          </cell>
          <cell r="S353">
            <v>0</v>
          </cell>
          <cell r="T353" t="str">
            <v>350CLR</v>
          </cell>
          <cell r="U353" t="str">
            <v>SSC</v>
          </cell>
          <cell r="V353" t="str">
            <v>350CLR</v>
          </cell>
        </row>
        <row r="354">
          <cell r="B354">
            <v>4573439</v>
          </cell>
          <cell r="C354" t="str">
            <v>5100010</v>
          </cell>
          <cell r="D354" t="str">
            <v>FRANCO, HELEN M.</v>
          </cell>
          <cell r="E354" t="str">
            <v>CSREP</v>
          </cell>
          <cell r="F354" t="str">
            <v>Customer Service Rep</v>
          </cell>
          <cell r="G354" t="str">
            <v>4</v>
          </cell>
          <cell r="H354" t="str">
            <v>350CLR</v>
          </cell>
          <cell r="I354">
            <v>40409</v>
          </cell>
          <cell r="J354">
            <v>40409</v>
          </cell>
          <cell r="K354">
            <v>40409</v>
          </cell>
          <cell r="L354" t="str">
            <v>OFC</v>
          </cell>
          <cell r="M354">
            <v>29.704999999999998</v>
          </cell>
          <cell r="N354">
            <v>22085</v>
          </cell>
          <cell r="O354">
            <v>627508</v>
          </cell>
          <cell r="P354">
            <v>0</v>
          </cell>
          <cell r="Q354" t="str">
            <v>N</v>
          </cell>
          <cell r="R354">
            <v>0</v>
          </cell>
          <cell r="S354">
            <v>0</v>
          </cell>
          <cell r="T354" t="str">
            <v>350CLR</v>
          </cell>
          <cell r="U354" t="str">
            <v>SSC</v>
          </cell>
          <cell r="V354" t="str">
            <v>350CLR</v>
          </cell>
        </row>
        <row r="355">
          <cell r="B355">
            <v>4672533</v>
          </cell>
          <cell r="C355" t="str">
            <v>5100510</v>
          </cell>
          <cell r="D355" t="str">
            <v>SHAY, RAYMOND</v>
          </cell>
          <cell r="E355" t="str">
            <v>MECHA1</v>
          </cell>
          <cell r="F355" t="str">
            <v>Mechanic (ASE Level 1)</v>
          </cell>
          <cell r="G355" t="str">
            <v>3</v>
          </cell>
          <cell r="H355" t="str">
            <v>350S</v>
          </cell>
          <cell r="I355">
            <v>40567</v>
          </cell>
          <cell r="J355">
            <v>40567</v>
          </cell>
          <cell r="K355">
            <v>40567</v>
          </cell>
          <cell r="L355" t="str">
            <v>SH2</v>
          </cell>
          <cell r="M355">
            <v>45.423000000000002</v>
          </cell>
          <cell r="N355">
            <v>28160</v>
          </cell>
          <cell r="O355">
            <v>58755</v>
          </cell>
          <cell r="P355">
            <v>0</v>
          </cell>
          <cell r="Q355" t="str">
            <v>N</v>
          </cell>
          <cell r="R355">
            <v>0</v>
          </cell>
          <cell r="S355">
            <v>0</v>
          </cell>
          <cell r="T355" t="str">
            <v>350S</v>
          </cell>
          <cell r="U355" t="str">
            <v>SSC</v>
          </cell>
          <cell r="V355" t="str">
            <v>350S</v>
          </cell>
        </row>
        <row r="356">
          <cell r="B356">
            <v>34930</v>
          </cell>
          <cell r="C356" t="str">
            <v>5100015</v>
          </cell>
          <cell r="D356" t="str">
            <v>RABAGO, MICHAEL A.</v>
          </cell>
          <cell r="E356" t="str">
            <v>DRIVER</v>
          </cell>
          <cell r="F356" t="str">
            <v>Driver</v>
          </cell>
          <cell r="G356" t="str">
            <v>3</v>
          </cell>
          <cell r="H356" t="str">
            <v>350S</v>
          </cell>
          <cell r="I356">
            <v>32594</v>
          </cell>
          <cell r="J356">
            <v>32746</v>
          </cell>
          <cell r="K356">
            <v>40651</v>
          </cell>
          <cell r="L356" t="str">
            <v>DSP</v>
          </cell>
          <cell r="M356">
            <v>42.23</v>
          </cell>
          <cell r="N356">
            <v>23896</v>
          </cell>
          <cell r="O356">
            <v>627137</v>
          </cell>
          <cell r="P356">
            <v>0</v>
          </cell>
          <cell r="Q356" t="str">
            <v>N</v>
          </cell>
          <cell r="R356">
            <v>0</v>
          </cell>
          <cell r="S356">
            <v>0</v>
          </cell>
          <cell r="T356" t="str">
            <v>Driver - Reg.</v>
          </cell>
          <cell r="U356" t="str">
            <v>SSC</v>
          </cell>
          <cell r="V356" t="str">
            <v>350S</v>
          </cell>
        </row>
        <row r="357">
          <cell r="B357">
            <v>41540</v>
          </cell>
          <cell r="C357" t="str">
            <v>5100014</v>
          </cell>
          <cell r="D357" t="str">
            <v>LEUTZA, CONSTANCE J.</v>
          </cell>
          <cell r="E357" t="str">
            <v>OPSUP</v>
          </cell>
          <cell r="F357" t="str">
            <v>Operations Supvsr</v>
          </cell>
          <cell r="G357" t="str">
            <v>2</v>
          </cell>
          <cell r="H357">
            <v>0</v>
          </cell>
          <cell r="I357">
            <v>30908</v>
          </cell>
          <cell r="J357">
            <v>34509</v>
          </cell>
          <cell r="K357">
            <v>40651</v>
          </cell>
          <cell r="L357">
            <v>0</v>
          </cell>
          <cell r="M357">
            <v>37.19</v>
          </cell>
          <cell r="N357">
            <v>22620</v>
          </cell>
          <cell r="O357">
            <v>83141</v>
          </cell>
          <cell r="P357" t="str">
            <v>22</v>
          </cell>
          <cell r="Q357" t="str">
            <v>Y</v>
          </cell>
          <cell r="S357">
            <v>0</v>
          </cell>
          <cell r="T357" t="str">
            <v>NonU</v>
          </cell>
          <cell r="U357" t="str">
            <v>SSC</v>
          </cell>
          <cell r="V357" t="str">
            <v>NonU</v>
          </cell>
        </row>
        <row r="358">
          <cell r="B358">
            <v>101821</v>
          </cell>
          <cell r="C358" t="str">
            <v>5100015</v>
          </cell>
          <cell r="D358" t="str">
            <v>GOMEZ, RICARDO</v>
          </cell>
          <cell r="E358" t="str">
            <v>DRIVER</v>
          </cell>
          <cell r="F358" t="str">
            <v>Driver</v>
          </cell>
          <cell r="G358" t="str">
            <v>3</v>
          </cell>
          <cell r="H358" t="str">
            <v>350S</v>
          </cell>
          <cell r="I358">
            <v>35601</v>
          </cell>
          <cell r="J358">
            <v>35601</v>
          </cell>
          <cell r="K358">
            <v>40651</v>
          </cell>
          <cell r="L358" t="str">
            <v>DSP</v>
          </cell>
          <cell r="M358">
            <v>42.23</v>
          </cell>
          <cell r="N358">
            <v>28544</v>
          </cell>
          <cell r="O358">
            <v>627137</v>
          </cell>
          <cell r="P358">
            <v>0</v>
          </cell>
          <cell r="Q358" t="str">
            <v>N</v>
          </cell>
          <cell r="S358">
            <v>0</v>
          </cell>
          <cell r="T358" t="str">
            <v>Driver - Reg.</v>
          </cell>
          <cell r="U358" t="str">
            <v>SSC</v>
          </cell>
          <cell r="V358" t="str">
            <v>350S</v>
          </cell>
        </row>
        <row r="359">
          <cell r="B359">
            <v>580818</v>
          </cell>
          <cell r="C359" t="str">
            <v>5100015</v>
          </cell>
          <cell r="D359" t="str">
            <v>SEPULVEDA, CESAR R.</v>
          </cell>
          <cell r="E359" t="str">
            <v>DRIVER</v>
          </cell>
          <cell r="F359" t="str">
            <v>Driver</v>
          </cell>
          <cell r="G359" t="str">
            <v>3</v>
          </cell>
          <cell r="H359" t="str">
            <v>350S</v>
          </cell>
          <cell r="I359">
            <v>36997</v>
          </cell>
          <cell r="J359">
            <v>36997</v>
          </cell>
          <cell r="K359">
            <v>40651</v>
          </cell>
          <cell r="L359" t="str">
            <v>DSP</v>
          </cell>
          <cell r="M359">
            <v>42.23</v>
          </cell>
          <cell r="N359">
            <v>29292</v>
          </cell>
          <cell r="O359">
            <v>627137</v>
          </cell>
          <cell r="P359">
            <v>0</v>
          </cell>
          <cell r="Q359" t="str">
            <v>N</v>
          </cell>
          <cell r="S359">
            <v>0</v>
          </cell>
          <cell r="T359" t="str">
            <v>Driver - Reg.</v>
          </cell>
          <cell r="U359" t="str">
            <v>SSC</v>
          </cell>
          <cell r="V359" t="str">
            <v>350S</v>
          </cell>
        </row>
        <row r="360">
          <cell r="B360">
            <v>4659822</v>
          </cell>
          <cell r="C360" t="str">
            <v>5100015</v>
          </cell>
          <cell r="D360" t="str">
            <v>GARCIA, CARLOS E.</v>
          </cell>
          <cell r="E360" t="str">
            <v>DRIVER</v>
          </cell>
          <cell r="F360" t="str">
            <v>Driver</v>
          </cell>
          <cell r="G360" t="str">
            <v>3</v>
          </cell>
          <cell r="H360" t="str">
            <v>350S</v>
          </cell>
          <cell r="I360">
            <v>40546</v>
          </cell>
          <cell r="J360">
            <v>40546</v>
          </cell>
          <cell r="K360">
            <v>40665</v>
          </cell>
          <cell r="L360" t="str">
            <v>DSP</v>
          </cell>
          <cell r="M360">
            <v>42.23</v>
          </cell>
          <cell r="N360">
            <v>29801</v>
          </cell>
          <cell r="O360">
            <v>627137</v>
          </cell>
          <cell r="P360">
            <v>0</v>
          </cell>
          <cell r="Q360" t="str">
            <v>N</v>
          </cell>
          <cell r="S360">
            <v>0</v>
          </cell>
          <cell r="T360" t="str">
            <v>Driver - Reg.</v>
          </cell>
          <cell r="U360" t="str">
            <v>SSC</v>
          </cell>
          <cell r="V360" t="str">
            <v>350S</v>
          </cell>
        </row>
        <row r="361">
          <cell r="B361">
            <v>103528</v>
          </cell>
          <cell r="C361" t="str">
            <v>5100015</v>
          </cell>
          <cell r="D361" t="str">
            <v>GIULIACCI, ERIC A.</v>
          </cell>
          <cell r="E361" t="str">
            <v>DRIVER</v>
          </cell>
          <cell r="F361" t="str">
            <v>Driver</v>
          </cell>
          <cell r="G361" t="str">
            <v>3</v>
          </cell>
          <cell r="H361" t="str">
            <v>350S</v>
          </cell>
          <cell r="I361">
            <v>35780</v>
          </cell>
          <cell r="J361">
            <v>40679</v>
          </cell>
          <cell r="K361">
            <v>40679</v>
          </cell>
          <cell r="L361" t="str">
            <v>DSP</v>
          </cell>
          <cell r="M361">
            <v>42.23</v>
          </cell>
          <cell r="N361">
            <v>28595</v>
          </cell>
          <cell r="O361">
            <v>627137</v>
          </cell>
          <cell r="P361">
            <v>0</v>
          </cell>
          <cell r="Q361" t="str">
            <v>N</v>
          </cell>
          <cell r="S361">
            <v>0</v>
          </cell>
          <cell r="T361" t="str">
            <v>Driver - Reg.</v>
          </cell>
          <cell r="U361" t="str">
            <v>SSC</v>
          </cell>
          <cell r="V361" t="str">
            <v>350S</v>
          </cell>
        </row>
        <row r="362">
          <cell r="B362">
            <v>4660920</v>
          </cell>
          <cell r="C362" t="str">
            <v>5100015</v>
          </cell>
          <cell r="D362" t="str">
            <v>DELEV, BORIS</v>
          </cell>
          <cell r="E362" t="str">
            <v>DRIVER</v>
          </cell>
          <cell r="F362" t="str">
            <v>Driver</v>
          </cell>
          <cell r="G362" t="str">
            <v>3</v>
          </cell>
          <cell r="H362" t="str">
            <v>350S</v>
          </cell>
          <cell r="I362">
            <v>40548</v>
          </cell>
          <cell r="J362">
            <v>40548</v>
          </cell>
          <cell r="K362">
            <v>40701</v>
          </cell>
          <cell r="L362" t="str">
            <v>DSP</v>
          </cell>
          <cell r="M362">
            <v>42.23</v>
          </cell>
          <cell r="N362">
            <v>24751</v>
          </cell>
          <cell r="O362">
            <v>627137</v>
          </cell>
          <cell r="P362">
            <v>0</v>
          </cell>
          <cell r="Q362" t="str">
            <v>N</v>
          </cell>
          <cell r="S362">
            <v>0</v>
          </cell>
          <cell r="T362" t="str">
            <v>Driver - Reg.</v>
          </cell>
          <cell r="U362" t="str">
            <v>SSC</v>
          </cell>
          <cell r="V362" t="str">
            <v>350S</v>
          </cell>
        </row>
        <row r="363">
          <cell r="B363">
            <v>627137</v>
          </cell>
          <cell r="C363" t="str">
            <v>5100014</v>
          </cell>
          <cell r="D363" t="str">
            <v>NEGRON, DANIEL</v>
          </cell>
          <cell r="E363" t="str">
            <v>OPSMG</v>
          </cell>
          <cell r="F363" t="str">
            <v>Operations Manager</v>
          </cell>
          <cell r="G363" t="str">
            <v>3</v>
          </cell>
          <cell r="H363">
            <v>0</v>
          </cell>
          <cell r="I363">
            <v>37165</v>
          </cell>
          <cell r="J363">
            <v>37165</v>
          </cell>
          <cell r="K363">
            <v>40721</v>
          </cell>
          <cell r="L363" t="str">
            <v>MG3</v>
          </cell>
          <cell r="M363">
            <v>54.735999999999997</v>
          </cell>
          <cell r="N363">
            <v>23098</v>
          </cell>
          <cell r="O363">
            <v>33890</v>
          </cell>
          <cell r="P363" t="str">
            <v>24</v>
          </cell>
          <cell r="Q363" t="str">
            <v>Y</v>
          </cell>
          <cell r="S363">
            <v>0</v>
          </cell>
          <cell r="T363" t="str">
            <v>NonU</v>
          </cell>
          <cell r="U363" t="str">
            <v>SSC</v>
          </cell>
          <cell r="V363" t="str">
            <v>NonU</v>
          </cell>
        </row>
        <row r="364">
          <cell r="B364">
            <v>652720</v>
          </cell>
          <cell r="C364" t="str">
            <v>5100014</v>
          </cell>
          <cell r="D364" t="str">
            <v>BAGLIERI, MAURIZZIO G.</v>
          </cell>
          <cell r="E364" t="str">
            <v>OPSUP</v>
          </cell>
          <cell r="F364" t="str">
            <v>Operations Supvsr</v>
          </cell>
          <cell r="G364" t="str">
            <v>1</v>
          </cell>
          <cell r="H364">
            <v>0</v>
          </cell>
          <cell r="I364">
            <v>37305</v>
          </cell>
          <cell r="J364">
            <v>37305</v>
          </cell>
          <cell r="K364">
            <v>40743</v>
          </cell>
          <cell r="L364">
            <v>0</v>
          </cell>
          <cell r="M364">
            <v>32.195</v>
          </cell>
          <cell r="N364">
            <v>28867</v>
          </cell>
          <cell r="O364">
            <v>706337</v>
          </cell>
          <cell r="P364" t="str">
            <v>19</v>
          </cell>
          <cell r="Q364" t="str">
            <v>Y</v>
          </cell>
          <cell r="S364">
            <v>0</v>
          </cell>
          <cell r="T364" t="str">
            <v>NonU</v>
          </cell>
          <cell r="U364" t="str">
            <v>SSC</v>
          </cell>
          <cell r="V364" t="str">
            <v>NonU</v>
          </cell>
        </row>
        <row r="365">
          <cell r="B365">
            <v>33890</v>
          </cell>
          <cell r="C365" t="str">
            <v>5100810</v>
          </cell>
          <cell r="D365" t="str">
            <v>BRASLAW, JON D.</v>
          </cell>
          <cell r="E365" t="str">
            <v>AGMGRP</v>
          </cell>
          <cell r="F365" t="str">
            <v>Assistant Group Manager</v>
          </cell>
          <cell r="G365">
            <v>0</v>
          </cell>
          <cell r="H365">
            <v>0</v>
          </cell>
          <cell r="I365">
            <v>32825</v>
          </cell>
          <cell r="J365">
            <v>32825</v>
          </cell>
          <cell r="K365">
            <v>40749</v>
          </cell>
          <cell r="L365">
            <v>0</v>
          </cell>
          <cell r="M365">
            <v>109.96899999999999</v>
          </cell>
          <cell r="N365">
            <v>22468</v>
          </cell>
          <cell r="O365">
            <v>91150</v>
          </cell>
          <cell r="P365" t="str">
            <v>32</v>
          </cell>
          <cell r="Q365" t="str">
            <v>Y</v>
          </cell>
          <cell r="S365">
            <v>0</v>
          </cell>
          <cell r="T365" t="str">
            <v>NonU</v>
          </cell>
          <cell r="U365" t="str">
            <v>SSC</v>
          </cell>
          <cell r="V365" t="str">
            <v>NonU</v>
          </cell>
        </row>
        <row r="366">
          <cell r="B366">
            <v>4482342</v>
          </cell>
          <cell r="C366" t="str">
            <v>5100510</v>
          </cell>
          <cell r="D366" t="str">
            <v>CONTRERAS, LUIS A.</v>
          </cell>
          <cell r="E366" t="str">
            <v>FTSTC3</v>
          </cell>
          <cell r="F366" t="str">
            <v>Driver - Fantastic 3</v>
          </cell>
          <cell r="G366" t="str">
            <v>3</v>
          </cell>
          <cell r="H366" t="str">
            <v>350S</v>
          </cell>
          <cell r="I366">
            <v>40218</v>
          </cell>
          <cell r="J366">
            <v>40218</v>
          </cell>
          <cell r="K366">
            <v>40791</v>
          </cell>
          <cell r="L366" t="str">
            <v>CRT</v>
          </cell>
          <cell r="M366">
            <v>42.23</v>
          </cell>
          <cell r="N366">
            <v>31497</v>
          </cell>
          <cell r="O366">
            <v>83141</v>
          </cell>
          <cell r="P366">
            <v>0</v>
          </cell>
          <cell r="Q366" t="str">
            <v>N</v>
          </cell>
          <cell r="S366">
            <v>0</v>
          </cell>
          <cell r="T366" t="str">
            <v>Driver - Lead</v>
          </cell>
          <cell r="U366" t="str">
            <v>SSC</v>
          </cell>
          <cell r="V366" t="str">
            <v>350S</v>
          </cell>
        </row>
        <row r="367">
          <cell r="B367">
            <v>4662503</v>
          </cell>
          <cell r="C367" t="str">
            <v>5100015</v>
          </cell>
          <cell r="D367" t="str">
            <v>NICKS, NATHAN M.</v>
          </cell>
          <cell r="E367" t="str">
            <v>DRIVER</v>
          </cell>
          <cell r="F367" t="str">
            <v>Driver</v>
          </cell>
          <cell r="G367" t="str">
            <v>2</v>
          </cell>
          <cell r="H367" t="str">
            <v>350S</v>
          </cell>
          <cell r="I367">
            <v>40554</v>
          </cell>
          <cell r="J367">
            <v>40554</v>
          </cell>
          <cell r="K367">
            <v>40792</v>
          </cell>
          <cell r="L367" t="str">
            <v>DSP</v>
          </cell>
          <cell r="M367">
            <v>42.23</v>
          </cell>
          <cell r="N367">
            <v>29084</v>
          </cell>
          <cell r="O367">
            <v>627137</v>
          </cell>
          <cell r="P367">
            <v>0</v>
          </cell>
          <cell r="Q367" t="str">
            <v>N</v>
          </cell>
          <cell r="S367">
            <v>0</v>
          </cell>
          <cell r="T367" t="str">
            <v>Driver - Reg.</v>
          </cell>
          <cell r="U367" t="str">
            <v>SSC</v>
          </cell>
          <cell r="V367" t="str">
            <v>350S</v>
          </cell>
        </row>
        <row r="368">
          <cell r="B368">
            <v>4822167</v>
          </cell>
          <cell r="C368" t="str">
            <v>5100014</v>
          </cell>
          <cell r="D368" t="str">
            <v>HELIOTIS, ALEXANDRO R.</v>
          </cell>
          <cell r="E368" t="str">
            <v>OPSUP</v>
          </cell>
          <cell r="F368" t="str">
            <v>Operations Supvsr</v>
          </cell>
          <cell r="G368" t="str">
            <v>1</v>
          </cell>
          <cell r="H368">
            <v>0</v>
          </cell>
          <cell r="I368">
            <v>40792</v>
          </cell>
          <cell r="J368">
            <v>40792</v>
          </cell>
          <cell r="K368">
            <v>40792</v>
          </cell>
          <cell r="L368">
            <v>0</v>
          </cell>
          <cell r="M368">
            <v>27.367000000000001</v>
          </cell>
          <cell r="N368">
            <v>30299</v>
          </cell>
          <cell r="O368">
            <v>3762393</v>
          </cell>
          <cell r="P368" t="str">
            <v>19</v>
          </cell>
          <cell r="Q368" t="str">
            <v>Y</v>
          </cell>
          <cell r="T368" t="str">
            <v>NonU</v>
          </cell>
          <cell r="U368" t="str">
            <v>SSC</v>
          </cell>
          <cell r="V368" t="str">
            <v>NonU</v>
          </cell>
        </row>
        <row r="369">
          <cell r="B369">
            <v>4676788</v>
          </cell>
          <cell r="C369" t="str">
            <v>5100015</v>
          </cell>
          <cell r="D369" t="str">
            <v>FONTANA, DWAYNE L G</v>
          </cell>
          <cell r="E369" t="str">
            <v>DRIVER</v>
          </cell>
          <cell r="F369" t="str">
            <v>Driver</v>
          </cell>
          <cell r="G369" t="str">
            <v>2</v>
          </cell>
          <cell r="H369" t="str">
            <v>350S</v>
          </cell>
          <cell r="I369">
            <v>40579</v>
          </cell>
          <cell r="J369">
            <v>40579</v>
          </cell>
          <cell r="K369">
            <v>40819</v>
          </cell>
          <cell r="L369" t="str">
            <v>DSP</v>
          </cell>
          <cell r="M369">
            <v>42.23</v>
          </cell>
          <cell r="N369">
            <v>26716</v>
          </cell>
          <cell r="O369">
            <v>627137</v>
          </cell>
          <cell r="P369">
            <v>0</v>
          </cell>
          <cell r="Q369" t="str">
            <v>N</v>
          </cell>
          <cell r="R369">
            <v>0</v>
          </cell>
          <cell r="S369">
            <v>0</v>
          </cell>
          <cell r="T369" t="str">
            <v>Driver - Reg.</v>
          </cell>
          <cell r="U369" t="str">
            <v>SSC</v>
          </cell>
          <cell r="V369" t="str">
            <v>350S</v>
          </cell>
        </row>
        <row r="370">
          <cell r="B370">
            <v>4844331</v>
          </cell>
          <cell r="C370" t="str">
            <v>5100015</v>
          </cell>
          <cell r="D370" t="str">
            <v>WILLIAMS, VERNON</v>
          </cell>
          <cell r="E370" t="str">
            <v>DRIVER</v>
          </cell>
          <cell r="F370" t="str">
            <v>Driver</v>
          </cell>
          <cell r="G370" t="str">
            <v>2</v>
          </cell>
          <cell r="H370" t="str">
            <v>350S</v>
          </cell>
          <cell r="I370">
            <v>40820</v>
          </cell>
          <cell r="J370">
            <v>40820</v>
          </cell>
          <cell r="K370">
            <v>40820</v>
          </cell>
          <cell r="L370" t="str">
            <v>DSP</v>
          </cell>
          <cell r="M370">
            <v>42.23</v>
          </cell>
          <cell r="N370">
            <v>25198</v>
          </cell>
          <cell r="O370">
            <v>627137</v>
          </cell>
          <cell r="P370">
            <v>0</v>
          </cell>
          <cell r="Q370" t="str">
            <v>N</v>
          </cell>
          <cell r="T370" t="str">
            <v>Driver - Reg.</v>
          </cell>
          <cell r="U370" t="str">
            <v>SSC</v>
          </cell>
          <cell r="V370" t="str">
            <v>350S</v>
          </cell>
        </row>
        <row r="371">
          <cell r="B371">
            <v>630651</v>
          </cell>
          <cell r="C371" t="str">
            <v>5100010</v>
          </cell>
          <cell r="D371" t="str">
            <v>CASTILLO, PILAR M.</v>
          </cell>
          <cell r="E371" t="str">
            <v>CSREP</v>
          </cell>
          <cell r="F371" t="str">
            <v>Customer Service Rep</v>
          </cell>
          <cell r="G371" t="str">
            <v>4</v>
          </cell>
          <cell r="H371" t="str">
            <v>350CLR</v>
          </cell>
          <cell r="I371">
            <v>37182</v>
          </cell>
          <cell r="J371">
            <v>37182</v>
          </cell>
          <cell r="K371">
            <v>40882</v>
          </cell>
          <cell r="L371" t="str">
            <v>OFC</v>
          </cell>
          <cell r="M371">
            <v>29.704999999999998</v>
          </cell>
          <cell r="N371">
            <v>21534</v>
          </cell>
          <cell r="O371">
            <v>20159</v>
          </cell>
          <cell r="P371">
            <v>0</v>
          </cell>
          <cell r="Q371" t="str">
            <v>N</v>
          </cell>
          <cell r="T371" t="str">
            <v>350CLR</v>
          </cell>
          <cell r="U371" t="str">
            <v>SSC</v>
          </cell>
          <cell r="V371" t="str">
            <v>350CLR</v>
          </cell>
        </row>
        <row r="372">
          <cell r="B372">
            <v>2538120</v>
          </cell>
          <cell r="C372" t="str">
            <v>5100010</v>
          </cell>
          <cell r="D372" t="str">
            <v>CHANG, NADYA S.</v>
          </cell>
          <cell r="E372" t="str">
            <v>CSREP</v>
          </cell>
          <cell r="F372" t="str">
            <v>Customer Service Rep</v>
          </cell>
          <cell r="G372" t="str">
            <v>4</v>
          </cell>
          <cell r="H372" t="str">
            <v>350CLR</v>
          </cell>
          <cell r="I372">
            <v>38894</v>
          </cell>
          <cell r="J372">
            <v>38894</v>
          </cell>
          <cell r="K372">
            <v>40882</v>
          </cell>
          <cell r="L372" t="str">
            <v>OFC</v>
          </cell>
          <cell r="M372">
            <v>29.704999999999998</v>
          </cell>
          <cell r="N372">
            <v>21917</v>
          </cell>
          <cell r="O372">
            <v>20159</v>
          </cell>
          <cell r="P372">
            <v>0</v>
          </cell>
          <cell r="Q372" t="str">
            <v>N</v>
          </cell>
          <cell r="T372" t="str">
            <v>350CLR</v>
          </cell>
          <cell r="U372" t="str">
            <v>SSC</v>
          </cell>
          <cell r="V372" t="str">
            <v>350CLR</v>
          </cell>
        </row>
        <row r="373">
          <cell r="B373">
            <v>4900840</v>
          </cell>
          <cell r="C373" t="str">
            <v>5100810</v>
          </cell>
          <cell r="D373" t="str">
            <v>ALEMAN, MARIA P.</v>
          </cell>
          <cell r="E373" t="str">
            <v>CMOSP</v>
          </cell>
          <cell r="F373" t="str">
            <v>Community Outreach Specialist</v>
          </cell>
          <cell r="G373">
            <v>0</v>
          </cell>
          <cell r="H373">
            <v>0</v>
          </cell>
          <cell r="I373">
            <v>40917</v>
          </cell>
          <cell r="J373">
            <v>40917</v>
          </cell>
          <cell r="K373">
            <v>40917</v>
          </cell>
          <cell r="L373">
            <v>0</v>
          </cell>
          <cell r="M373">
            <v>27.518000000000001</v>
          </cell>
          <cell r="N373">
            <v>29546</v>
          </cell>
          <cell r="O373">
            <v>38501</v>
          </cell>
          <cell r="P373" t="str">
            <v>21</v>
          </cell>
          <cell r="Q373" t="str">
            <v>Y</v>
          </cell>
          <cell r="T373" t="str">
            <v>NonU</v>
          </cell>
          <cell r="U373" t="str">
            <v>SSC</v>
          </cell>
          <cell r="V373" t="str">
            <v>NonU</v>
          </cell>
        </row>
        <row r="374">
          <cell r="B374">
            <v>4788245</v>
          </cell>
          <cell r="C374" t="str">
            <v>5100015</v>
          </cell>
          <cell r="D374" t="str">
            <v>RODRIGUEZ, RICARDO</v>
          </cell>
          <cell r="E374" t="str">
            <v>DRIVER</v>
          </cell>
          <cell r="F374" t="str">
            <v>Driver</v>
          </cell>
          <cell r="G374" t="str">
            <v>1</v>
          </cell>
          <cell r="H374" t="str">
            <v>350S</v>
          </cell>
          <cell r="I374">
            <v>40714</v>
          </cell>
          <cell r="J374">
            <v>40714</v>
          </cell>
          <cell r="K374">
            <v>40931</v>
          </cell>
          <cell r="L374" t="str">
            <v>DSP</v>
          </cell>
          <cell r="M374">
            <v>42.23</v>
          </cell>
          <cell r="N374">
            <v>32161</v>
          </cell>
          <cell r="O374">
            <v>627137</v>
          </cell>
          <cell r="P374">
            <v>0</v>
          </cell>
          <cell r="Q374" t="str">
            <v>N</v>
          </cell>
          <cell r="T374" t="str">
            <v>Driver - Reg.</v>
          </cell>
          <cell r="U374" t="str">
            <v>SSC</v>
          </cell>
          <cell r="V374" t="str">
            <v>350S</v>
          </cell>
        </row>
        <row r="375">
          <cell r="B375">
            <v>4413507</v>
          </cell>
          <cell r="C375" t="str">
            <v>5100810</v>
          </cell>
          <cell r="D375" t="str">
            <v>THORNE, MALAIKA S.</v>
          </cell>
          <cell r="E375" t="str">
            <v>SPMGR</v>
          </cell>
          <cell r="F375" t="str">
            <v>Sustainability Program Manager</v>
          </cell>
          <cell r="G375">
            <v>0</v>
          </cell>
          <cell r="H375">
            <v>0</v>
          </cell>
          <cell r="I375">
            <v>40035</v>
          </cell>
          <cell r="J375">
            <v>40035</v>
          </cell>
          <cell r="K375">
            <v>41085</v>
          </cell>
          <cell r="L375">
            <v>0</v>
          </cell>
          <cell r="M375">
            <v>59.710999999999999</v>
          </cell>
          <cell r="N375">
            <v>28033</v>
          </cell>
          <cell r="O375">
            <v>33890</v>
          </cell>
          <cell r="P375" t="str">
            <v>26</v>
          </cell>
          <cell r="Q375" t="str">
            <v>Y</v>
          </cell>
          <cell r="T375" t="str">
            <v>NonU</v>
          </cell>
          <cell r="U375" t="str">
            <v>SSC</v>
          </cell>
          <cell r="V375" t="str">
            <v>NonU</v>
          </cell>
        </row>
        <row r="376">
          <cell r="B376">
            <v>5052900</v>
          </cell>
          <cell r="C376" t="str">
            <v>5100810</v>
          </cell>
          <cell r="D376" t="str">
            <v>WATKINS, KRISTEN D.</v>
          </cell>
          <cell r="E376" t="str">
            <v>SPSPC</v>
          </cell>
          <cell r="F376" t="str">
            <v>Sustainability Prgrm Specialst</v>
          </cell>
          <cell r="G376">
            <v>0</v>
          </cell>
          <cell r="H376">
            <v>0</v>
          </cell>
          <cell r="I376">
            <v>41092</v>
          </cell>
          <cell r="J376">
            <v>41092</v>
          </cell>
          <cell r="K376">
            <v>41092</v>
          </cell>
          <cell r="L376">
            <v>0</v>
          </cell>
          <cell r="M376">
            <v>29.856000000000002</v>
          </cell>
          <cell r="N376">
            <v>32760</v>
          </cell>
          <cell r="O376">
            <v>4413507</v>
          </cell>
          <cell r="P376" t="str">
            <v>19</v>
          </cell>
          <cell r="Q376" t="str">
            <v>Y</v>
          </cell>
          <cell r="T376" t="str">
            <v>NonU</v>
          </cell>
          <cell r="U376" t="str">
            <v>SSC</v>
          </cell>
          <cell r="V376" t="str">
            <v>NonU</v>
          </cell>
        </row>
        <row r="377">
          <cell r="B377">
            <v>5152724</v>
          </cell>
          <cell r="C377" t="str">
            <v>5100810</v>
          </cell>
          <cell r="D377" t="str">
            <v>MARIANI, ALESSIA</v>
          </cell>
          <cell r="E377" t="str">
            <v>FINAN</v>
          </cell>
          <cell r="F377" t="str">
            <v>Financial Analyst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41225</v>
          </cell>
          <cell r="L377">
            <v>0</v>
          </cell>
          <cell r="M377">
            <v>34.158810000000003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T377" t="str">
            <v>NonEx</v>
          </cell>
          <cell r="U377">
            <v>0</v>
          </cell>
          <cell r="V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</row>
      </sheetData>
      <sheetData sheetId="20" refreshError="1"/>
      <sheetData sheetId="21"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365.25</v>
          </cell>
          <cell r="D4">
            <v>40</v>
          </cell>
          <cell r="E4">
            <v>1</v>
          </cell>
          <cell r="F4">
            <v>3.3333333333333335</v>
          </cell>
        </row>
        <row r="5">
          <cell r="C5">
            <v>730.5</v>
          </cell>
          <cell r="D5">
            <v>80</v>
          </cell>
          <cell r="E5">
            <v>2</v>
          </cell>
          <cell r="F5">
            <v>6.666666666666667</v>
          </cell>
        </row>
        <row r="6">
          <cell r="C6">
            <v>1461</v>
          </cell>
          <cell r="D6">
            <v>120</v>
          </cell>
          <cell r="E6">
            <v>3</v>
          </cell>
          <cell r="F6">
            <v>10</v>
          </cell>
        </row>
        <row r="7">
          <cell r="C7">
            <v>2556.75</v>
          </cell>
          <cell r="D7">
            <v>160</v>
          </cell>
          <cell r="E7">
            <v>4</v>
          </cell>
          <cell r="F7">
            <v>13.333333333333334</v>
          </cell>
        </row>
        <row r="8">
          <cell r="C8">
            <v>4383</v>
          </cell>
          <cell r="D8">
            <v>200</v>
          </cell>
          <cell r="E8">
            <v>5</v>
          </cell>
          <cell r="F8">
            <v>16.666666666666668</v>
          </cell>
        </row>
        <row r="9">
          <cell r="C9">
            <v>7305</v>
          </cell>
          <cell r="D9">
            <v>240</v>
          </cell>
          <cell r="E9">
            <v>6</v>
          </cell>
          <cell r="F9">
            <v>20</v>
          </cell>
        </row>
        <row r="10">
          <cell r="C10">
            <v>9131.25</v>
          </cell>
          <cell r="D10">
            <v>280</v>
          </cell>
          <cell r="E10">
            <v>7</v>
          </cell>
          <cell r="F10">
            <v>23.333333333333332</v>
          </cell>
        </row>
        <row r="11">
          <cell r="C11">
            <v>10957.5</v>
          </cell>
          <cell r="D11">
            <v>320</v>
          </cell>
          <cell r="E11">
            <v>8</v>
          </cell>
          <cell r="F11">
            <v>26.666666666666668</v>
          </cell>
        </row>
        <row r="15">
          <cell r="C15">
            <v>0</v>
          </cell>
          <cell r="D15">
            <v>80</v>
          </cell>
          <cell r="E15">
            <v>2</v>
          </cell>
          <cell r="F15">
            <v>6.666666666666667</v>
          </cell>
        </row>
        <row r="16">
          <cell r="C16">
            <v>182.625</v>
          </cell>
          <cell r="D16">
            <v>80</v>
          </cell>
          <cell r="E16">
            <v>2</v>
          </cell>
          <cell r="F16">
            <v>6.666666666666667</v>
          </cell>
        </row>
        <row r="17">
          <cell r="C17">
            <v>365.25</v>
          </cell>
          <cell r="D17">
            <v>80</v>
          </cell>
          <cell r="E17">
            <v>2</v>
          </cell>
          <cell r="F17">
            <v>6.666666666666667</v>
          </cell>
        </row>
        <row r="18">
          <cell r="C18">
            <v>730.5</v>
          </cell>
          <cell r="D18">
            <v>80</v>
          </cell>
          <cell r="E18">
            <v>2</v>
          </cell>
          <cell r="F18">
            <v>6.666666666666667</v>
          </cell>
        </row>
        <row r="19">
          <cell r="C19">
            <v>1095.75</v>
          </cell>
          <cell r="D19">
            <v>120</v>
          </cell>
          <cell r="E19">
            <v>3</v>
          </cell>
          <cell r="F19">
            <v>10</v>
          </cell>
        </row>
        <row r="20">
          <cell r="C20">
            <v>2556.75</v>
          </cell>
          <cell r="D20">
            <v>160</v>
          </cell>
          <cell r="E20">
            <v>4</v>
          </cell>
          <cell r="F20">
            <v>13.333333333333334</v>
          </cell>
        </row>
        <row r="21">
          <cell r="C21">
            <v>4383</v>
          </cell>
          <cell r="D21">
            <v>200</v>
          </cell>
          <cell r="E21">
            <v>5</v>
          </cell>
          <cell r="F21">
            <v>16.666666666666668</v>
          </cell>
        </row>
        <row r="22">
          <cell r="C22">
            <v>8766</v>
          </cell>
          <cell r="D22">
            <v>240</v>
          </cell>
          <cell r="E22">
            <v>6</v>
          </cell>
          <cell r="F22">
            <v>20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182.625</v>
          </cell>
          <cell r="D27">
            <v>40</v>
          </cell>
          <cell r="E27">
            <v>1</v>
          </cell>
          <cell r="F27">
            <v>3.3333333333333335</v>
          </cell>
        </row>
        <row r="28">
          <cell r="C28">
            <v>365.25</v>
          </cell>
          <cell r="D28">
            <v>40</v>
          </cell>
          <cell r="E28">
            <v>1</v>
          </cell>
          <cell r="F28">
            <v>3.3333333333333335</v>
          </cell>
        </row>
        <row r="29">
          <cell r="C29">
            <v>730.5</v>
          </cell>
          <cell r="D29">
            <v>80</v>
          </cell>
          <cell r="E29">
            <v>2</v>
          </cell>
          <cell r="F29">
            <v>6.666666666666667</v>
          </cell>
        </row>
        <row r="30">
          <cell r="C30">
            <v>1461</v>
          </cell>
          <cell r="D30">
            <v>120</v>
          </cell>
          <cell r="E30">
            <v>3</v>
          </cell>
          <cell r="F30">
            <v>10</v>
          </cell>
        </row>
        <row r="31">
          <cell r="C31">
            <v>2556.75</v>
          </cell>
          <cell r="D31">
            <v>160</v>
          </cell>
          <cell r="E31">
            <v>4</v>
          </cell>
          <cell r="F31">
            <v>13.333333333333334</v>
          </cell>
        </row>
        <row r="32">
          <cell r="C32">
            <v>4383</v>
          </cell>
          <cell r="D32">
            <v>200</v>
          </cell>
          <cell r="E32">
            <v>5</v>
          </cell>
          <cell r="F32">
            <v>16.666666666666668</v>
          </cell>
        </row>
        <row r="33">
          <cell r="C33">
            <v>7305</v>
          </cell>
          <cell r="D33">
            <v>240</v>
          </cell>
          <cell r="E33">
            <v>6</v>
          </cell>
          <cell r="F33">
            <v>20</v>
          </cell>
        </row>
        <row r="34">
          <cell r="C34">
            <v>9131.25</v>
          </cell>
          <cell r="D34">
            <v>280</v>
          </cell>
          <cell r="E34">
            <v>7</v>
          </cell>
          <cell r="F34">
            <v>23.333333333333332</v>
          </cell>
        </row>
        <row r="35">
          <cell r="C35">
            <v>10957.5</v>
          </cell>
          <cell r="D35">
            <v>320</v>
          </cell>
          <cell r="E35">
            <v>8</v>
          </cell>
          <cell r="F35">
            <v>26.666666666666668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>
        <row r="1">
          <cell r="A1">
            <v>1</v>
          </cell>
          <cell r="B1" t="str">
            <v>Oct</v>
          </cell>
        </row>
        <row r="2">
          <cell r="A2">
            <v>2</v>
          </cell>
          <cell r="B2" t="str">
            <v>Nov</v>
          </cell>
        </row>
        <row r="3">
          <cell r="A3">
            <v>3</v>
          </cell>
          <cell r="B3" t="str">
            <v>Dec</v>
          </cell>
        </row>
        <row r="4">
          <cell r="A4">
            <v>4</v>
          </cell>
          <cell r="B4" t="str">
            <v>Jan</v>
          </cell>
        </row>
        <row r="5">
          <cell r="A5">
            <v>5</v>
          </cell>
          <cell r="B5" t="str">
            <v>Feb</v>
          </cell>
        </row>
        <row r="6">
          <cell r="A6">
            <v>6</v>
          </cell>
          <cell r="B6" t="str">
            <v>Mar</v>
          </cell>
        </row>
        <row r="7">
          <cell r="A7">
            <v>7</v>
          </cell>
          <cell r="B7" t="str">
            <v>Apr</v>
          </cell>
        </row>
        <row r="8">
          <cell r="A8">
            <v>8</v>
          </cell>
          <cell r="B8" t="str">
            <v>May</v>
          </cell>
        </row>
        <row r="9">
          <cell r="A9">
            <v>9</v>
          </cell>
          <cell r="B9" t="str">
            <v>Jun</v>
          </cell>
        </row>
        <row r="10">
          <cell r="A10">
            <v>10</v>
          </cell>
          <cell r="B10" t="str">
            <v>Jul</v>
          </cell>
        </row>
        <row r="11">
          <cell r="A11">
            <v>11</v>
          </cell>
          <cell r="B11" t="str">
            <v>Aug</v>
          </cell>
        </row>
        <row r="12">
          <cell r="A12">
            <v>12</v>
          </cell>
          <cell r="B12" t="str">
            <v>Sep</v>
          </cell>
        </row>
      </sheetData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SF Region_Summary"/>
      <sheetName val="SF Region"/>
      <sheetName val="Graph_Revenue"/>
      <sheetName val="Graph_EBITDA"/>
      <sheetName val="Graph_Data"/>
      <sheetName val="SSC_GGD"/>
      <sheetName val="GGD"/>
      <sheetName val="SSC"/>
      <sheetName val="REB"/>
      <sheetName val="RSF"/>
      <sheetName val="WCR"/>
      <sheetName val="SCV"/>
      <sheetName val="CLS"/>
      <sheetName val="Elim"/>
      <sheetName val="Month"/>
      <sheetName val="Object"/>
    </sheetNames>
    <sheetDataSet>
      <sheetData sheetId="0"/>
      <sheetData sheetId="1">
        <row r="2">
          <cell r="A2">
            <v>41670</v>
          </cell>
        </row>
      </sheetData>
      <sheetData sheetId="2"/>
      <sheetData sheetId="3" refreshError="1"/>
      <sheetData sheetId="4" refreshError="1"/>
      <sheetData sheetId="5"/>
      <sheetData sheetId="6"/>
      <sheetData sheetId="7">
        <row r="4">
          <cell r="K4" t="str">
            <v>AA</v>
          </cell>
        </row>
      </sheetData>
      <sheetData sheetId="8">
        <row r="43">
          <cell r="Y43">
            <v>49008978.109999992</v>
          </cell>
        </row>
      </sheetData>
      <sheetData sheetId="9"/>
      <sheetData sheetId="10"/>
      <sheetData sheetId="11"/>
      <sheetData sheetId="12"/>
      <sheetData sheetId="13"/>
      <sheetData sheetId="14">
        <row r="4">
          <cell r="A4">
            <v>0</v>
          </cell>
          <cell r="B4">
            <v>41305</v>
          </cell>
          <cell r="C4">
            <v>41333</v>
          </cell>
          <cell r="D4">
            <v>41364</v>
          </cell>
          <cell r="E4">
            <v>41394</v>
          </cell>
          <cell r="F4">
            <v>41425</v>
          </cell>
          <cell r="G4">
            <v>41455</v>
          </cell>
          <cell r="H4">
            <v>41486</v>
          </cell>
          <cell r="I4">
            <v>41517</v>
          </cell>
          <cell r="J4">
            <v>41547</v>
          </cell>
          <cell r="K4">
            <v>41578</v>
          </cell>
          <cell r="L4">
            <v>41608</v>
          </cell>
          <cell r="M4">
            <v>41639</v>
          </cell>
          <cell r="N4">
            <v>41670</v>
          </cell>
          <cell r="O4">
            <v>41698</v>
          </cell>
        </row>
        <row r="5">
          <cell r="A5" t="str">
            <v>Revenue</v>
          </cell>
          <cell r="B5">
            <v>-7283601.7000000002</v>
          </cell>
          <cell r="C5">
            <v>-6408857.8799999999</v>
          </cell>
          <cell r="D5">
            <v>-6928899.25</v>
          </cell>
          <cell r="E5">
            <v>-7363294.5999999996</v>
          </cell>
          <cell r="F5">
            <v>-7595479.0899999999</v>
          </cell>
          <cell r="G5">
            <v>-6769280.9299999997</v>
          </cell>
          <cell r="H5">
            <v>-7758643.1699999999</v>
          </cell>
          <cell r="I5">
            <v>-8011593.2799999993</v>
          </cell>
          <cell r="J5">
            <v>-7631904.9000000004</v>
          </cell>
          <cell r="K5">
            <v>-8073754.5</v>
          </cell>
          <cell r="L5">
            <v>-7529671.3700000001</v>
          </cell>
          <cell r="M5">
            <v>-7853133.9200000009</v>
          </cell>
          <cell r="N5">
            <v>-8025555.2599999998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</row>
        <row r="6">
          <cell r="A6" t="str">
            <v>Expenses</v>
          </cell>
          <cell r="B6">
            <v>-7283601.6999999993</v>
          </cell>
          <cell r="C6">
            <v>-6408857.8799999999</v>
          </cell>
          <cell r="D6">
            <v>-6928899.25</v>
          </cell>
          <cell r="E6">
            <v>-7363294.5999999996</v>
          </cell>
          <cell r="F6">
            <v>-7595479.0899999999</v>
          </cell>
          <cell r="G6">
            <v>-6769280.9299999997</v>
          </cell>
          <cell r="H6">
            <v>-7758643.1699999999</v>
          </cell>
          <cell r="I6">
            <v>-8011593.2800000003</v>
          </cell>
          <cell r="J6">
            <v>-7631904.9000000004</v>
          </cell>
          <cell r="K6">
            <v>-8073754.5</v>
          </cell>
          <cell r="L6">
            <v>-7529671.370000001</v>
          </cell>
          <cell r="M6">
            <v>-7853133.9199999999</v>
          </cell>
          <cell r="N6">
            <v>-8025555.2599999998</v>
          </cell>
          <cell r="O6">
            <v>0</v>
          </cell>
        </row>
        <row r="7">
          <cell r="A7" t="str">
            <v>EBITDA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5"/>
      <sheetData sheetId="16">
        <row r="1">
          <cell r="A1" t="str">
            <v>Obj Acct ------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_NAV_n_Check"/>
      <sheetName val="All_BU"/>
      <sheetName val="Parameters"/>
      <sheetName val="BU_List"/>
      <sheetName val="Day_Calc"/>
      <sheetName val="Hol_by_Union"/>
      <sheetName val="Hol_by_Type"/>
      <sheetName val="Wkdays_by_Type"/>
      <sheetName val="Percentage_OT_n_Such"/>
      <sheetName val="Obj_No_for_PR"/>
      <sheetName val="Obj_No_for_PR (2)"/>
      <sheetName val="Changes"/>
      <sheetName val="UL_Amt_Template"/>
      <sheetName val="UL_Hrs_Template"/>
      <sheetName val="Exceptions"/>
      <sheetName val="Wkg_EE_List"/>
      <sheetName val="EE_List_Dwld"/>
      <sheetName val="Download"/>
      <sheetName val="Accrued_Vac"/>
      <sheetName val="Vac_Table"/>
      <sheetName val="GGD_HC_Actual"/>
      <sheetName val="GGD_HC_FTE"/>
      <sheetName val="G.1_HC_DATA_by_BU (2)"/>
      <sheetName val="G.1_HC_DATA_by_BU"/>
      <sheetName val="G.1_Hr_DATA_by_BU"/>
      <sheetName val="G.1_Dlr_DATA_by_BU"/>
      <sheetName val="G.2_DATA_by_BU"/>
      <sheetName val="G.3_DATA_by_BU"/>
      <sheetName val="G.4_DATA_by_BU"/>
      <sheetName val="Grouping"/>
      <sheetName val="Amt_by_Union_type"/>
      <sheetName val="Routes"/>
      <sheetName val="Routes_for_HC_Rpt"/>
      <sheetName val="Weekdays"/>
      <sheetName val="Saturdays"/>
      <sheetName val="Saturdays2"/>
      <sheetName val="Sundays"/>
      <sheetName val="OT"/>
      <sheetName val="Holiday_Worked"/>
      <sheetName val="Union_Rate"/>
      <sheetName val="Union_Rate_All"/>
      <sheetName val="010"/>
      <sheetName val="011"/>
      <sheetName val="012"/>
      <sheetName val="014"/>
      <sheetName val="015"/>
      <sheetName val="016"/>
      <sheetName val="041"/>
      <sheetName val="060"/>
      <sheetName val="061"/>
      <sheetName val="110"/>
      <sheetName val="115"/>
      <sheetName val="120"/>
      <sheetName val="131"/>
      <sheetName val="200"/>
      <sheetName val="300"/>
      <sheetName val="510"/>
      <sheetName val="810"/>
      <sheetName val="Total"/>
      <sheetName val="Tracking"/>
      <sheetName val="Rate_NonU_350G"/>
      <sheetName val="Object_No"/>
      <sheetName val="Tracking_Table"/>
      <sheetName val="OT_Hol_Non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21101</v>
          </cell>
        </row>
      </sheetData>
      <sheetData sheetId="15">
        <row r="1">
          <cell r="B1">
            <v>0</v>
          </cell>
        </row>
        <row r="4">
          <cell r="B4">
            <v>1</v>
          </cell>
        </row>
        <row r="5">
          <cell r="B5">
            <v>0</v>
          </cell>
        </row>
        <row r="6">
          <cell r="B6">
            <v>0</v>
          </cell>
        </row>
        <row r="7">
          <cell r="B7" t="str">
            <v>EE ID</v>
          </cell>
        </row>
        <row r="8">
          <cell r="B8">
            <v>20124</v>
          </cell>
          <cell r="C8" t="str">
            <v>0100810</v>
          </cell>
          <cell r="D8" t="str">
            <v>DELA CRUZ, RAQUEL</v>
          </cell>
          <cell r="E8" t="str">
            <v>ACTSU</v>
          </cell>
          <cell r="F8" t="str">
            <v>Accounting Supvsr</v>
          </cell>
          <cell r="G8">
            <v>0</v>
          </cell>
          <cell r="H8" t="str">
            <v>OFC</v>
          </cell>
          <cell r="I8" t="str">
            <v>NonEx</v>
          </cell>
          <cell r="J8">
            <v>0</v>
          </cell>
          <cell r="K8">
            <v>26507</v>
          </cell>
          <cell r="L8">
            <v>0</v>
          </cell>
          <cell r="M8">
            <v>20124</v>
          </cell>
          <cell r="N8">
            <v>0</v>
          </cell>
          <cell r="O8">
            <v>0</v>
          </cell>
          <cell r="P8">
            <v>34.829000000000001</v>
          </cell>
        </row>
        <row r="9">
          <cell r="B9">
            <v>20731</v>
          </cell>
          <cell r="C9" t="str">
            <v>0100010</v>
          </cell>
          <cell r="D9" t="str">
            <v>GIULIACCI, UBALDO</v>
          </cell>
          <cell r="E9" t="str">
            <v>OPSMG</v>
          </cell>
          <cell r="F9" t="str">
            <v>Operations Manager</v>
          </cell>
          <cell r="G9">
            <v>0</v>
          </cell>
          <cell r="H9">
            <v>0</v>
          </cell>
          <cell r="I9" t="str">
            <v>NonU</v>
          </cell>
          <cell r="J9">
            <v>0</v>
          </cell>
          <cell r="K9">
            <v>26840</v>
          </cell>
          <cell r="L9">
            <v>0</v>
          </cell>
          <cell r="M9">
            <v>20731</v>
          </cell>
          <cell r="N9">
            <v>0</v>
          </cell>
          <cell r="O9">
            <v>0</v>
          </cell>
          <cell r="P9">
            <v>50.625999999999998</v>
          </cell>
        </row>
        <row r="10">
          <cell r="B10">
            <v>20909</v>
          </cell>
          <cell r="C10" t="str">
            <v>0100010</v>
          </cell>
          <cell r="D10" t="str">
            <v>RATTO, JOHN</v>
          </cell>
          <cell r="E10" t="str">
            <v>OPSMG</v>
          </cell>
          <cell r="F10" t="str">
            <v>Operations Manager</v>
          </cell>
          <cell r="G10">
            <v>0</v>
          </cell>
          <cell r="H10">
            <v>0</v>
          </cell>
          <cell r="I10" t="str">
            <v>NonU</v>
          </cell>
          <cell r="J10">
            <v>0</v>
          </cell>
          <cell r="K10">
            <v>27947</v>
          </cell>
          <cell r="L10">
            <v>0</v>
          </cell>
          <cell r="M10">
            <v>20909</v>
          </cell>
          <cell r="N10">
            <v>0</v>
          </cell>
          <cell r="O10">
            <v>0</v>
          </cell>
          <cell r="P10">
            <v>55.17</v>
          </cell>
        </row>
        <row r="11">
          <cell r="B11">
            <v>20845</v>
          </cell>
          <cell r="C11" t="str">
            <v>0100060</v>
          </cell>
          <cell r="D11" t="str">
            <v>MALATESTA, MARK D.</v>
          </cell>
          <cell r="E11" t="str">
            <v>OPSMG</v>
          </cell>
          <cell r="F11" t="str">
            <v>Operations Manager</v>
          </cell>
          <cell r="G11">
            <v>0</v>
          </cell>
          <cell r="H11" t="str">
            <v>DB</v>
          </cell>
          <cell r="I11" t="str">
            <v>NonU</v>
          </cell>
          <cell r="J11">
            <v>0</v>
          </cell>
          <cell r="K11">
            <v>28287</v>
          </cell>
          <cell r="L11">
            <v>0</v>
          </cell>
          <cell r="M11">
            <v>20845</v>
          </cell>
          <cell r="N11">
            <v>0</v>
          </cell>
          <cell r="O11">
            <v>0</v>
          </cell>
          <cell r="P11">
            <v>51.113</v>
          </cell>
        </row>
        <row r="12">
          <cell r="B12">
            <v>20589</v>
          </cell>
          <cell r="C12" t="str">
            <v>0100061</v>
          </cell>
          <cell r="D12" t="str">
            <v>RATTO, PETER M</v>
          </cell>
          <cell r="E12" t="str">
            <v>OPSMG</v>
          </cell>
          <cell r="F12" t="str">
            <v>Operations Manager</v>
          </cell>
          <cell r="G12">
            <v>0</v>
          </cell>
          <cell r="H12" t="str">
            <v>NWS</v>
          </cell>
          <cell r="I12" t="str">
            <v>NonU</v>
          </cell>
          <cell r="J12">
            <v>0</v>
          </cell>
          <cell r="K12">
            <v>28288</v>
          </cell>
          <cell r="L12">
            <v>0</v>
          </cell>
          <cell r="M12">
            <v>20589</v>
          </cell>
          <cell r="N12">
            <v>0</v>
          </cell>
          <cell r="O12">
            <v>0</v>
          </cell>
          <cell r="P12">
            <v>51.079000000000001</v>
          </cell>
        </row>
        <row r="13">
          <cell r="B13">
            <v>20141</v>
          </cell>
          <cell r="C13" t="str">
            <v>0100810</v>
          </cell>
          <cell r="D13" t="str">
            <v>HARRIS, DIANE M.</v>
          </cell>
          <cell r="E13" t="str">
            <v>RTEMS</v>
          </cell>
          <cell r="F13" t="str">
            <v>Route Maintenance Specialist</v>
          </cell>
          <cell r="G13">
            <v>0</v>
          </cell>
          <cell r="H13" t="str">
            <v>OFC</v>
          </cell>
          <cell r="I13" t="str">
            <v>NonEx</v>
          </cell>
          <cell r="J13">
            <v>0</v>
          </cell>
          <cell r="K13">
            <v>28456</v>
          </cell>
          <cell r="L13">
            <v>0</v>
          </cell>
          <cell r="M13">
            <v>20141</v>
          </cell>
          <cell r="N13">
            <v>0</v>
          </cell>
          <cell r="O13">
            <v>0</v>
          </cell>
          <cell r="P13">
            <v>28.861000000000001</v>
          </cell>
        </row>
        <row r="14">
          <cell r="B14">
            <v>20159</v>
          </cell>
          <cell r="C14" t="str">
            <v>0100810</v>
          </cell>
          <cell r="D14" t="str">
            <v>MARTINEZ, LOURDES</v>
          </cell>
          <cell r="E14" t="str">
            <v>CSMGR</v>
          </cell>
          <cell r="F14" t="str">
            <v>Customer Service Mgr</v>
          </cell>
          <cell r="G14">
            <v>0</v>
          </cell>
          <cell r="H14">
            <v>0</v>
          </cell>
          <cell r="I14" t="str">
            <v>NonU</v>
          </cell>
          <cell r="J14">
            <v>0</v>
          </cell>
          <cell r="K14">
            <v>28800</v>
          </cell>
          <cell r="L14">
            <v>0</v>
          </cell>
          <cell r="M14">
            <v>20159</v>
          </cell>
          <cell r="N14">
            <v>0</v>
          </cell>
          <cell r="O14">
            <v>0</v>
          </cell>
          <cell r="P14">
            <v>38.625999999999998</v>
          </cell>
        </row>
        <row r="15">
          <cell r="B15">
            <v>90368</v>
          </cell>
          <cell r="C15" t="str">
            <v>0100120</v>
          </cell>
          <cell r="D15" t="str">
            <v>LEVAGGI, CHRISTIAN R.</v>
          </cell>
          <cell r="E15" t="str">
            <v>RCYPC</v>
          </cell>
          <cell r="F15" t="str">
            <v>Recycling Programs Coordn</v>
          </cell>
          <cell r="G15">
            <v>0</v>
          </cell>
          <cell r="H15">
            <v>0</v>
          </cell>
          <cell r="I15" t="str">
            <v>NonU</v>
          </cell>
          <cell r="J15">
            <v>0</v>
          </cell>
          <cell r="K15">
            <v>31208</v>
          </cell>
          <cell r="L15">
            <v>0</v>
          </cell>
          <cell r="M15">
            <v>90368</v>
          </cell>
          <cell r="N15">
            <v>0</v>
          </cell>
          <cell r="O15">
            <v>0</v>
          </cell>
          <cell r="P15">
            <v>43.286000000000001</v>
          </cell>
        </row>
        <row r="16">
          <cell r="B16">
            <v>92355</v>
          </cell>
          <cell r="C16" t="str">
            <v>0100010</v>
          </cell>
          <cell r="D16" t="str">
            <v>OROZCO, CLAUDIA P.</v>
          </cell>
          <cell r="E16" t="str">
            <v>OPSUP</v>
          </cell>
          <cell r="F16" t="str">
            <v>Operations Supvsr</v>
          </cell>
          <cell r="G16">
            <v>0</v>
          </cell>
          <cell r="H16">
            <v>0</v>
          </cell>
          <cell r="I16" t="str">
            <v>NonU</v>
          </cell>
          <cell r="J16">
            <v>0</v>
          </cell>
          <cell r="K16">
            <v>34761</v>
          </cell>
          <cell r="L16">
            <v>0</v>
          </cell>
          <cell r="M16">
            <v>92355</v>
          </cell>
          <cell r="N16">
            <v>0</v>
          </cell>
          <cell r="O16">
            <v>0</v>
          </cell>
          <cell r="P16">
            <v>34.462000000000003</v>
          </cell>
        </row>
        <row r="17">
          <cell r="B17">
            <v>96698</v>
          </cell>
          <cell r="C17" t="str">
            <v>0100810</v>
          </cell>
          <cell r="D17" t="str">
            <v>ZERMENO, EDUARDO S.</v>
          </cell>
          <cell r="E17" t="str">
            <v>SECGD</v>
          </cell>
          <cell r="F17" t="str">
            <v>Security Guard</v>
          </cell>
          <cell r="G17">
            <v>0</v>
          </cell>
          <cell r="H17" t="str">
            <v>OFC</v>
          </cell>
          <cell r="I17" t="str">
            <v>NonEx</v>
          </cell>
          <cell r="J17">
            <v>0</v>
          </cell>
          <cell r="K17">
            <v>35191</v>
          </cell>
          <cell r="L17">
            <v>0</v>
          </cell>
          <cell r="M17">
            <v>96698</v>
          </cell>
          <cell r="N17">
            <v>0</v>
          </cell>
          <cell r="O17">
            <v>0</v>
          </cell>
          <cell r="P17">
            <v>20.628</v>
          </cell>
        </row>
        <row r="18">
          <cell r="B18">
            <v>97834</v>
          </cell>
          <cell r="C18" t="str">
            <v>0100810</v>
          </cell>
          <cell r="D18" t="str">
            <v>TAHIJA, BARBARA A.</v>
          </cell>
          <cell r="E18" t="str">
            <v>ACTCK</v>
          </cell>
          <cell r="F18" t="str">
            <v>Accounting Clerk</v>
          </cell>
          <cell r="G18">
            <v>0</v>
          </cell>
          <cell r="H18" t="str">
            <v>OF1</v>
          </cell>
          <cell r="I18" t="str">
            <v>NonEx</v>
          </cell>
          <cell r="J18">
            <v>0</v>
          </cell>
          <cell r="K18">
            <v>35261</v>
          </cell>
          <cell r="L18">
            <v>0</v>
          </cell>
          <cell r="M18">
            <v>97834</v>
          </cell>
          <cell r="N18">
            <v>0</v>
          </cell>
          <cell r="O18">
            <v>0</v>
          </cell>
          <cell r="P18">
            <v>29.132000000000001</v>
          </cell>
        </row>
        <row r="19">
          <cell r="B19">
            <v>99039</v>
          </cell>
          <cell r="C19" t="str">
            <v>0100810</v>
          </cell>
          <cell r="D19" t="str">
            <v>MURPHY, MICHAEL J.</v>
          </cell>
          <cell r="E19" t="str">
            <v>RTEMS</v>
          </cell>
          <cell r="F19" t="str">
            <v>Route Maintenance Specialist</v>
          </cell>
          <cell r="G19">
            <v>0</v>
          </cell>
          <cell r="H19" t="str">
            <v>OFC</v>
          </cell>
          <cell r="I19" t="str">
            <v>NonEx</v>
          </cell>
          <cell r="J19">
            <v>0</v>
          </cell>
          <cell r="K19">
            <v>32052</v>
          </cell>
          <cell r="L19">
            <v>0</v>
          </cell>
          <cell r="M19">
            <v>99039</v>
          </cell>
          <cell r="N19">
            <v>0</v>
          </cell>
          <cell r="O19">
            <v>0</v>
          </cell>
          <cell r="P19">
            <v>30.437000000000001</v>
          </cell>
        </row>
        <row r="20">
          <cell r="B20">
            <v>102533</v>
          </cell>
          <cell r="C20" t="str">
            <v>0100060</v>
          </cell>
          <cell r="D20" t="str">
            <v>PEREZ, OCTAVIO</v>
          </cell>
          <cell r="E20" t="str">
            <v>DSPCH</v>
          </cell>
          <cell r="F20" t="str">
            <v>Dispatcher</v>
          </cell>
          <cell r="G20">
            <v>0</v>
          </cell>
          <cell r="H20" t="str">
            <v>DB</v>
          </cell>
          <cell r="I20" t="str">
            <v>NonU</v>
          </cell>
          <cell r="J20">
            <v>0</v>
          </cell>
          <cell r="K20">
            <v>35639</v>
          </cell>
          <cell r="L20">
            <v>0</v>
          </cell>
          <cell r="M20">
            <v>102533</v>
          </cell>
          <cell r="N20">
            <v>0</v>
          </cell>
          <cell r="O20">
            <v>0</v>
          </cell>
          <cell r="P20">
            <v>40.508000000000003</v>
          </cell>
        </row>
        <row r="21">
          <cell r="B21">
            <v>304451</v>
          </cell>
          <cell r="C21" t="str">
            <v>0100010</v>
          </cell>
          <cell r="D21" t="str">
            <v>LEE, JASON</v>
          </cell>
          <cell r="E21" t="str">
            <v>OPSUP</v>
          </cell>
          <cell r="F21" t="str">
            <v>Operations Supvsr</v>
          </cell>
          <cell r="G21">
            <v>0</v>
          </cell>
          <cell r="H21">
            <v>0</v>
          </cell>
          <cell r="I21" t="str">
            <v>NonU</v>
          </cell>
          <cell r="J21">
            <v>0</v>
          </cell>
          <cell r="K21">
            <v>35835</v>
          </cell>
          <cell r="L21">
            <v>0</v>
          </cell>
          <cell r="M21">
            <v>304451</v>
          </cell>
          <cell r="N21">
            <v>0</v>
          </cell>
          <cell r="O21">
            <v>0</v>
          </cell>
          <cell r="P21">
            <v>31.722999999999999</v>
          </cell>
        </row>
        <row r="22">
          <cell r="B22">
            <v>345666</v>
          </cell>
          <cell r="C22" t="str">
            <v>0100810</v>
          </cell>
          <cell r="D22" t="str">
            <v>GRIFFIN, CRAIG E.</v>
          </cell>
          <cell r="E22" t="str">
            <v>SFTMG</v>
          </cell>
          <cell r="F22" t="str">
            <v>Safety Manager</v>
          </cell>
          <cell r="G22">
            <v>0</v>
          </cell>
          <cell r="H22">
            <v>0</v>
          </cell>
          <cell r="I22" t="str">
            <v>NonU</v>
          </cell>
          <cell r="J22">
            <v>0</v>
          </cell>
          <cell r="K22">
            <v>36053</v>
          </cell>
          <cell r="L22">
            <v>0</v>
          </cell>
          <cell r="M22">
            <v>345666</v>
          </cell>
          <cell r="N22">
            <v>0</v>
          </cell>
          <cell r="O22">
            <v>0</v>
          </cell>
          <cell r="P22">
            <v>45.762999999999998</v>
          </cell>
        </row>
        <row r="23">
          <cell r="B23">
            <v>101485</v>
          </cell>
          <cell r="C23" t="str">
            <v>0100120</v>
          </cell>
          <cell r="D23" t="str">
            <v>MIGLIORE, ANITA</v>
          </cell>
          <cell r="E23" t="str">
            <v>DIVAUD</v>
          </cell>
          <cell r="F23" t="str">
            <v>Diversion Auditor</v>
          </cell>
          <cell r="G23">
            <v>0</v>
          </cell>
          <cell r="H23" t="str">
            <v>OFC</v>
          </cell>
          <cell r="I23" t="str">
            <v>NonEx</v>
          </cell>
          <cell r="J23">
            <v>0</v>
          </cell>
          <cell r="K23">
            <v>35577</v>
          </cell>
          <cell r="L23">
            <v>0</v>
          </cell>
          <cell r="M23">
            <v>101485</v>
          </cell>
          <cell r="N23">
            <v>0</v>
          </cell>
          <cell r="O23">
            <v>0</v>
          </cell>
          <cell r="P23">
            <v>28.556999999999999</v>
          </cell>
        </row>
        <row r="24">
          <cell r="B24">
            <v>354757</v>
          </cell>
          <cell r="C24" t="str">
            <v>0100810</v>
          </cell>
          <cell r="D24" t="str">
            <v>FREDIANI, ROBERT D.</v>
          </cell>
          <cell r="E24" t="str">
            <v>SECGD</v>
          </cell>
          <cell r="F24" t="str">
            <v>Security Guard</v>
          </cell>
          <cell r="G24">
            <v>0</v>
          </cell>
          <cell r="H24" t="str">
            <v>OFC</v>
          </cell>
          <cell r="I24" t="str">
            <v>NonEx</v>
          </cell>
          <cell r="J24">
            <v>0</v>
          </cell>
          <cell r="K24">
            <v>36085</v>
          </cell>
          <cell r="L24">
            <v>0</v>
          </cell>
          <cell r="M24">
            <v>354757</v>
          </cell>
          <cell r="N24">
            <v>0</v>
          </cell>
          <cell r="O24">
            <v>0</v>
          </cell>
          <cell r="P24">
            <v>26.91</v>
          </cell>
        </row>
        <row r="25">
          <cell r="B25">
            <v>366643</v>
          </cell>
          <cell r="C25" t="str">
            <v>0100810</v>
          </cell>
          <cell r="D25" t="str">
            <v>ALBERTO, SOLEDAD S.</v>
          </cell>
          <cell r="E25" t="str">
            <v>ACCNT</v>
          </cell>
          <cell r="F25" t="str">
            <v>Accountant</v>
          </cell>
          <cell r="G25">
            <v>0</v>
          </cell>
          <cell r="H25" t="str">
            <v>OFC</v>
          </cell>
          <cell r="I25" t="str">
            <v>NonEx</v>
          </cell>
          <cell r="J25">
            <v>0</v>
          </cell>
          <cell r="K25">
            <v>36146</v>
          </cell>
          <cell r="L25">
            <v>0</v>
          </cell>
          <cell r="M25">
            <v>366643</v>
          </cell>
          <cell r="N25">
            <v>0</v>
          </cell>
          <cell r="O25">
            <v>0</v>
          </cell>
          <cell r="P25">
            <v>29.817</v>
          </cell>
        </row>
        <row r="26">
          <cell r="B26">
            <v>393511</v>
          </cell>
          <cell r="C26" t="str">
            <v>0100010</v>
          </cell>
          <cell r="D26" t="str">
            <v>SHERMAN, RONALD A.</v>
          </cell>
          <cell r="E26" t="str">
            <v>DSPCH</v>
          </cell>
          <cell r="F26" t="str">
            <v>Dispatcher</v>
          </cell>
          <cell r="G26">
            <v>0</v>
          </cell>
          <cell r="H26" t="str">
            <v>DSP</v>
          </cell>
          <cell r="I26" t="str">
            <v>NonU</v>
          </cell>
          <cell r="J26">
            <v>0</v>
          </cell>
          <cell r="K26">
            <v>36222</v>
          </cell>
          <cell r="L26">
            <v>0</v>
          </cell>
          <cell r="M26">
            <v>393511</v>
          </cell>
          <cell r="N26">
            <v>0</v>
          </cell>
          <cell r="O26">
            <v>0</v>
          </cell>
          <cell r="P26">
            <v>38.627000000000002</v>
          </cell>
        </row>
        <row r="27">
          <cell r="B27">
            <v>461085</v>
          </cell>
          <cell r="C27" t="str">
            <v>0100010</v>
          </cell>
          <cell r="D27" t="str">
            <v>VALENTINE, MARC E.</v>
          </cell>
          <cell r="E27" t="str">
            <v>DSPCH</v>
          </cell>
          <cell r="F27" t="str">
            <v>Dispatcher</v>
          </cell>
          <cell r="G27">
            <v>0</v>
          </cell>
          <cell r="H27" t="str">
            <v>DSP</v>
          </cell>
          <cell r="I27" t="str">
            <v>NonU</v>
          </cell>
          <cell r="J27">
            <v>0</v>
          </cell>
          <cell r="K27">
            <v>36500</v>
          </cell>
          <cell r="L27">
            <v>0</v>
          </cell>
          <cell r="M27">
            <v>461085</v>
          </cell>
          <cell r="N27">
            <v>0</v>
          </cell>
          <cell r="O27">
            <v>0</v>
          </cell>
          <cell r="P27">
            <v>35.765000000000001</v>
          </cell>
        </row>
        <row r="28">
          <cell r="B28">
            <v>506001</v>
          </cell>
          <cell r="C28" t="str">
            <v>0100810</v>
          </cell>
          <cell r="D28" t="str">
            <v>LEE, HWA D.</v>
          </cell>
          <cell r="E28" t="str">
            <v>ACTCK</v>
          </cell>
          <cell r="F28" t="str">
            <v>Accounting Clerk</v>
          </cell>
          <cell r="G28">
            <v>0</v>
          </cell>
          <cell r="H28" t="str">
            <v>OFC</v>
          </cell>
          <cell r="I28" t="str">
            <v>NonEx</v>
          </cell>
          <cell r="J28">
            <v>0</v>
          </cell>
          <cell r="K28">
            <v>36678</v>
          </cell>
          <cell r="L28">
            <v>0</v>
          </cell>
          <cell r="M28">
            <v>506001</v>
          </cell>
          <cell r="N28">
            <v>0</v>
          </cell>
          <cell r="O28">
            <v>0</v>
          </cell>
          <cell r="P28">
            <v>29.132000000000001</v>
          </cell>
        </row>
        <row r="29">
          <cell r="B29">
            <v>58405</v>
          </cell>
          <cell r="C29" t="str">
            <v>0100010</v>
          </cell>
          <cell r="D29" t="str">
            <v>KENNA, MICHAEL J</v>
          </cell>
          <cell r="E29" t="str">
            <v>OPSUP</v>
          </cell>
          <cell r="F29" t="str">
            <v>Operations Supvsr</v>
          </cell>
          <cell r="G29">
            <v>0</v>
          </cell>
          <cell r="H29">
            <v>0</v>
          </cell>
          <cell r="I29" t="str">
            <v>NonU</v>
          </cell>
          <cell r="J29">
            <v>0</v>
          </cell>
          <cell r="K29">
            <v>36808</v>
          </cell>
          <cell r="L29">
            <v>0</v>
          </cell>
          <cell r="M29">
            <v>58405</v>
          </cell>
          <cell r="N29">
            <v>0</v>
          </cell>
          <cell r="O29" t="str">
            <v>Pay Start Date</v>
          </cell>
          <cell r="P29">
            <v>32.006</v>
          </cell>
        </row>
        <row r="30">
          <cell r="B30">
            <v>566696</v>
          </cell>
          <cell r="C30" t="str">
            <v>0100060</v>
          </cell>
          <cell r="D30" t="str">
            <v>FOSS, GARY C.</v>
          </cell>
          <cell r="E30" t="str">
            <v>BDSMGR</v>
          </cell>
          <cell r="F30" t="str">
            <v>Business Dev &amp; Sales Manager</v>
          </cell>
          <cell r="G30">
            <v>0</v>
          </cell>
          <cell r="H30">
            <v>0</v>
          </cell>
          <cell r="I30" t="str">
            <v>NonU</v>
          </cell>
          <cell r="J30">
            <v>0</v>
          </cell>
          <cell r="K30">
            <v>36923</v>
          </cell>
          <cell r="L30">
            <v>0</v>
          </cell>
          <cell r="M30">
            <v>566696</v>
          </cell>
          <cell r="N30">
            <v>0</v>
          </cell>
          <cell r="O30">
            <v>0</v>
          </cell>
          <cell r="P30">
            <v>61.164000000000001</v>
          </cell>
        </row>
        <row r="31">
          <cell r="B31">
            <v>584237</v>
          </cell>
          <cell r="C31" t="str">
            <v>0100010</v>
          </cell>
          <cell r="D31" t="str">
            <v>JIMENEZ, JOSE A.</v>
          </cell>
          <cell r="E31" t="str">
            <v>OPSMG</v>
          </cell>
          <cell r="F31" t="str">
            <v>Operations Manager</v>
          </cell>
          <cell r="G31">
            <v>0</v>
          </cell>
          <cell r="H31">
            <v>0</v>
          </cell>
          <cell r="I31" t="str">
            <v>NonU</v>
          </cell>
          <cell r="J31">
            <v>0</v>
          </cell>
          <cell r="K31">
            <v>37007</v>
          </cell>
          <cell r="L31">
            <v>0</v>
          </cell>
          <cell r="M31">
            <v>584237</v>
          </cell>
          <cell r="N31">
            <v>0</v>
          </cell>
          <cell r="O31">
            <v>0</v>
          </cell>
          <cell r="P31">
            <v>38.637999999999998</v>
          </cell>
        </row>
        <row r="32">
          <cell r="B32">
            <v>588385</v>
          </cell>
          <cell r="C32" t="str">
            <v>0100010</v>
          </cell>
          <cell r="D32" t="str">
            <v>RUIZ, JESUS A.</v>
          </cell>
          <cell r="E32" t="str">
            <v>OPSUP</v>
          </cell>
          <cell r="F32" t="str">
            <v>Operations Supvsr</v>
          </cell>
          <cell r="G32">
            <v>0</v>
          </cell>
          <cell r="H32">
            <v>0</v>
          </cell>
          <cell r="I32" t="str">
            <v>NonU</v>
          </cell>
          <cell r="J32">
            <v>0</v>
          </cell>
          <cell r="K32">
            <v>37025</v>
          </cell>
          <cell r="L32">
            <v>0</v>
          </cell>
          <cell r="M32">
            <v>588385</v>
          </cell>
          <cell r="N32">
            <v>0</v>
          </cell>
          <cell r="O32">
            <v>0</v>
          </cell>
          <cell r="P32">
            <v>34.207999999999998</v>
          </cell>
        </row>
        <row r="33">
          <cell r="B33">
            <v>627508</v>
          </cell>
          <cell r="C33" t="str">
            <v>0100010</v>
          </cell>
          <cell r="D33" t="str">
            <v>WEST, DARRYL</v>
          </cell>
          <cell r="E33" t="str">
            <v>CSMGR</v>
          </cell>
          <cell r="F33" t="str">
            <v>Customer Service Mgr</v>
          </cell>
          <cell r="G33">
            <v>0</v>
          </cell>
          <cell r="H33">
            <v>0</v>
          </cell>
          <cell r="I33" t="str">
            <v>NonU</v>
          </cell>
          <cell r="J33">
            <v>0</v>
          </cell>
          <cell r="K33">
            <v>37165</v>
          </cell>
          <cell r="L33">
            <v>0</v>
          </cell>
          <cell r="M33">
            <v>627508</v>
          </cell>
          <cell r="N33">
            <v>0</v>
          </cell>
          <cell r="O33">
            <v>0</v>
          </cell>
          <cell r="P33">
            <v>47.517000000000003</v>
          </cell>
        </row>
        <row r="34">
          <cell r="B34">
            <v>95847</v>
          </cell>
          <cell r="C34" t="str">
            <v>0100810</v>
          </cell>
          <cell r="D34" t="str">
            <v>LUJAN, BARBARA M.</v>
          </cell>
          <cell r="E34" t="str">
            <v>HRGEN</v>
          </cell>
          <cell r="F34" t="str">
            <v>HR Generalist</v>
          </cell>
          <cell r="G34">
            <v>0</v>
          </cell>
          <cell r="H34">
            <v>0</v>
          </cell>
          <cell r="I34" t="str">
            <v>NonU</v>
          </cell>
          <cell r="J34">
            <v>0</v>
          </cell>
          <cell r="K34">
            <v>35080</v>
          </cell>
          <cell r="L34">
            <v>0</v>
          </cell>
          <cell r="M34">
            <v>95847</v>
          </cell>
          <cell r="N34">
            <v>0</v>
          </cell>
          <cell r="O34">
            <v>0</v>
          </cell>
          <cell r="P34">
            <v>42.902000000000001</v>
          </cell>
        </row>
        <row r="35">
          <cell r="B35">
            <v>681862</v>
          </cell>
          <cell r="C35" t="str">
            <v>0100060</v>
          </cell>
          <cell r="D35" t="str">
            <v>FOSS, SABRINA D.</v>
          </cell>
          <cell r="E35" t="str">
            <v>SLREPN</v>
          </cell>
          <cell r="F35" t="str">
            <v>Sales Representative (noncomm)</v>
          </cell>
          <cell r="G35">
            <v>0</v>
          </cell>
          <cell r="H35">
            <v>0</v>
          </cell>
          <cell r="I35" t="str">
            <v>NonU</v>
          </cell>
          <cell r="J35">
            <v>0</v>
          </cell>
          <cell r="K35">
            <v>37431</v>
          </cell>
          <cell r="L35">
            <v>0</v>
          </cell>
          <cell r="M35">
            <v>681862</v>
          </cell>
          <cell r="N35">
            <v>0</v>
          </cell>
          <cell r="O35">
            <v>0</v>
          </cell>
          <cell r="P35">
            <v>33.125</v>
          </cell>
        </row>
        <row r="36">
          <cell r="B36">
            <v>48274</v>
          </cell>
          <cell r="C36" t="str">
            <v>0100010</v>
          </cell>
          <cell r="D36" t="str">
            <v>GOMEZ, JOSE L.</v>
          </cell>
          <cell r="E36" t="str">
            <v>OPSUP</v>
          </cell>
          <cell r="F36" t="str">
            <v>Operations Supvsr</v>
          </cell>
          <cell r="G36">
            <v>0</v>
          </cell>
          <cell r="H36" t="str">
            <v>DSP</v>
          </cell>
          <cell r="I36" t="str">
            <v>NonU</v>
          </cell>
          <cell r="J36">
            <v>0</v>
          </cell>
          <cell r="K36">
            <v>32668</v>
          </cell>
          <cell r="L36">
            <v>0</v>
          </cell>
          <cell r="M36">
            <v>48274</v>
          </cell>
          <cell r="N36">
            <v>0</v>
          </cell>
          <cell r="O36">
            <v>0</v>
          </cell>
          <cell r="P36">
            <v>36.835999999999999</v>
          </cell>
        </row>
        <row r="37">
          <cell r="B37">
            <v>801158</v>
          </cell>
          <cell r="C37" t="str">
            <v>0100300</v>
          </cell>
          <cell r="D37" t="str">
            <v>RISI, RONALD</v>
          </cell>
          <cell r="E37" t="str">
            <v>OPSMG</v>
          </cell>
          <cell r="F37" t="str">
            <v>Operations Manager</v>
          </cell>
          <cell r="G37">
            <v>0</v>
          </cell>
          <cell r="H37" t="str">
            <v>NWS</v>
          </cell>
          <cell r="I37" t="str">
            <v>NonU</v>
          </cell>
          <cell r="J37">
            <v>0</v>
          </cell>
          <cell r="K37">
            <v>37874</v>
          </cell>
          <cell r="L37">
            <v>0</v>
          </cell>
          <cell r="M37">
            <v>801158</v>
          </cell>
          <cell r="N37">
            <v>0</v>
          </cell>
          <cell r="O37">
            <v>0</v>
          </cell>
          <cell r="P37">
            <v>37.895000000000003</v>
          </cell>
        </row>
        <row r="38">
          <cell r="B38">
            <v>101354</v>
          </cell>
          <cell r="C38" t="str">
            <v>0100810</v>
          </cell>
          <cell r="D38" t="str">
            <v>QUILLEN, MAURICE B.</v>
          </cell>
          <cell r="E38" t="str">
            <v>GNMGR</v>
          </cell>
          <cell r="F38" t="str">
            <v>General Mgr</v>
          </cell>
          <cell r="G38">
            <v>0</v>
          </cell>
          <cell r="H38" t="str">
            <v>MGR</v>
          </cell>
          <cell r="I38" t="str">
            <v>NonU</v>
          </cell>
          <cell r="J38">
            <v>0</v>
          </cell>
          <cell r="K38">
            <v>32724</v>
          </cell>
          <cell r="L38">
            <v>0</v>
          </cell>
          <cell r="M38">
            <v>101354</v>
          </cell>
          <cell r="N38">
            <v>0</v>
          </cell>
          <cell r="O38">
            <v>0</v>
          </cell>
          <cell r="P38">
            <v>81.846000000000004</v>
          </cell>
        </row>
        <row r="39">
          <cell r="B39">
            <v>1207821</v>
          </cell>
          <cell r="C39" t="str">
            <v>0100810</v>
          </cell>
          <cell r="D39" t="str">
            <v>BROWN, SUSAN C.</v>
          </cell>
          <cell r="E39" t="str">
            <v>OFCCD</v>
          </cell>
          <cell r="F39" t="str">
            <v>Office Coordinator</v>
          </cell>
          <cell r="G39">
            <v>0</v>
          </cell>
          <cell r="H39" t="str">
            <v>OFC</v>
          </cell>
          <cell r="I39" t="str">
            <v>NonEx</v>
          </cell>
          <cell r="J39">
            <v>0</v>
          </cell>
          <cell r="K39">
            <v>38443</v>
          </cell>
          <cell r="L39">
            <v>0</v>
          </cell>
          <cell r="M39">
            <v>1207821</v>
          </cell>
          <cell r="N39">
            <v>0</v>
          </cell>
          <cell r="O39">
            <v>0</v>
          </cell>
          <cell r="P39">
            <v>31.617000000000001</v>
          </cell>
        </row>
        <row r="40">
          <cell r="B40">
            <v>1570996</v>
          </cell>
          <cell r="C40" t="str">
            <v>0100810</v>
          </cell>
          <cell r="D40" t="str">
            <v>TRINH, PHUONG M.</v>
          </cell>
          <cell r="E40" t="str">
            <v>ACTMS</v>
          </cell>
          <cell r="F40" t="str">
            <v>Accounting Mgr, Sub</v>
          </cell>
          <cell r="G40">
            <v>0</v>
          </cell>
          <cell r="H40">
            <v>0</v>
          </cell>
          <cell r="I40" t="str">
            <v>NonU</v>
          </cell>
          <cell r="J40">
            <v>0</v>
          </cell>
          <cell r="K40">
            <v>38567</v>
          </cell>
          <cell r="L40">
            <v>0</v>
          </cell>
          <cell r="M40">
            <v>1570996</v>
          </cell>
          <cell r="N40">
            <v>0</v>
          </cell>
          <cell r="O40">
            <v>0</v>
          </cell>
          <cell r="P40">
            <v>38.197000000000003</v>
          </cell>
        </row>
        <row r="41">
          <cell r="B41">
            <v>1818699</v>
          </cell>
          <cell r="C41" t="str">
            <v>0100010</v>
          </cell>
          <cell r="D41" t="str">
            <v>BELL, BRIAN C.</v>
          </cell>
          <cell r="E41" t="str">
            <v>OPSUP</v>
          </cell>
          <cell r="F41" t="str">
            <v>Operations Supvsr</v>
          </cell>
          <cell r="G41">
            <v>0</v>
          </cell>
          <cell r="H41">
            <v>0</v>
          </cell>
          <cell r="I41" t="str">
            <v>NonU</v>
          </cell>
          <cell r="J41">
            <v>0</v>
          </cell>
          <cell r="K41">
            <v>38636</v>
          </cell>
          <cell r="L41">
            <v>0</v>
          </cell>
          <cell r="M41">
            <v>1818699</v>
          </cell>
          <cell r="N41">
            <v>0</v>
          </cell>
          <cell r="O41">
            <v>0</v>
          </cell>
          <cell r="P41">
            <v>29.831</v>
          </cell>
        </row>
        <row r="42">
          <cell r="B42">
            <v>1818816</v>
          </cell>
          <cell r="C42" t="str">
            <v>0100120</v>
          </cell>
          <cell r="D42" t="str">
            <v>MILANI, RAYMOND P.</v>
          </cell>
          <cell r="E42" t="str">
            <v>OPSUP</v>
          </cell>
          <cell r="F42" t="str">
            <v>Operations Supvsr</v>
          </cell>
          <cell r="G42">
            <v>0</v>
          </cell>
          <cell r="H42">
            <v>0</v>
          </cell>
          <cell r="I42" t="str">
            <v>NonU</v>
          </cell>
          <cell r="J42">
            <v>0</v>
          </cell>
          <cell r="K42">
            <v>38637</v>
          </cell>
          <cell r="L42">
            <v>0</v>
          </cell>
          <cell r="M42">
            <v>1818816</v>
          </cell>
          <cell r="N42">
            <v>0</v>
          </cell>
          <cell r="O42">
            <v>0</v>
          </cell>
          <cell r="P42">
            <v>30.122</v>
          </cell>
        </row>
        <row r="43">
          <cell r="B43">
            <v>57306</v>
          </cell>
          <cell r="C43" t="str">
            <v>0100010</v>
          </cell>
          <cell r="D43" t="str">
            <v>BONGI, GLEN</v>
          </cell>
          <cell r="E43" t="str">
            <v>OPSMG</v>
          </cell>
          <cell r="F43" t="str">
            <v>Operations Manager</v>
          </cell>
          <cell r="G43">
            <v>0</v>
          </cell>
          <cell r="H43">
            <v>0</v>
          </cell>
          <cell r="I43" t="str">
            <v>NonU</v>
          </cell>
          <cell r="J43">
            <v>0</v>
          </cell>
          <cell r="K43">
            <v>31936</v>
          </cell>
          <cell r="L43">
            <v>0</v>
          </cell>
          <cell r="M43">
            <v>57306</v>
          </cell>
          <cell r="N43">
            <v>0</v>
          </cell>
          <cell r="O43">
            <v>0</v>
          </cell>
          <cell r="P43">
            <v>46.604999999999997</v>
          </cell>
        </row>
        <row r="44">
          <cell r="B44">
            <v>80451</v>
          </cell>
          <cell r="C44" t="str">
            <v>0100510</v>
          </cell>
          <cell r="D44" t="str">
            <v>DEMARTINI, MARTY</v>
          </cell>
          <cell r="E44" t="str">
            <v>MAIMG</v>
          </cell>
          <cell r="F44" t="str">
            <v>Maintenance Mgr</v>
          </cell>
          <cell r="G44">
            <v>0</v>
          </cell>
          <cell r="H44">
            <v>0</v>
          </cell>
          <cell r="I44" t="str">
            <v>NonU</v>
          </cell>
          <cell r="J44">
            <v>0</v>
          </cell>
          <cell r="K44">
            <v>33672</v>
          </cell>
          <cell r="L44">
            <v>0</v>
          </cell>
          <cell r="M44">
            <v>80451</v>
          </cell>
          <cell r="N44">
            <v>0</v>
          </cell>
          <cell r="O44">
            <v>0</v>
          </cell>
          <cell r="P44">
            <v>52.247999999999998</v>
          </cell>
        </row>
        <row r="45">
          <cell r="B45">
            <v>2330901</v>
          </cell>
          <cell r="C45" t="str">
            <v>0100010</v>
          </cell>
          <cell r="D45" t="str">
            <v>MIRT, MARCUS J.</v>
          </cell>
          <cell r="E45" t="str">
            <v>OPSUP</v>
          </cell>
          <cell r="F45" t="str">
            <v>Operations Supvsr</v>
          </cell>
          <cell r="G45">
            <v>0</v>
          </cell>
          <cell r="H45">
            <v>0</v>
          </cell>
          <cell r="I45" t="str">
            <v>NonU</v>
          </cell>
          <cell r="J45">
            <v>0</v>
          </cell>
          <cell r="K45">
            <v>38823</v>
          </cell>
          <cell r="L45">
            <v>0</v>
          </cell>
          <cell r="M45">
            <v>2330901</v>
          </cell>
          <cell r="N45">
            <v>0</v>
          </cell>
          <cell r="O45">
            <v>0</v>
          </cell>
          <cell r="P45">
            <v>34.862000000000002</v>
          </cell>
        </row>
        <row r="46">
          <cell r="B46">
            <v>612293</v>
          </cell>
          <cell r="C46" t="str">
            <v>0100010</v>
          </cell>
          <cell r="D46" t="str">
            <v>WILLIAMS, MORRIS O.</v>
          </cell>
          <cell r="E46" t="str">
            <v>OPSUP</v>
          </cell>
          <cell r="F46" t="str">
            <v>Operations Supvsr</v>
          </cell>
          <cell r="G46">
            <v>0</v>
          </cell>
          <cell r="H46" t="str">
            <v>DB</v>
          </cell>
          <cell r="I46" t="str">
            <v>NonU</v>
          </cell>
          <cell r="J46">
            <v>0</v>
          </cell>
          <cell r="K46">
            <v>37116</v>
          </cell>
          <cell r="L46">
            <v>0</v>
          </cell>
          <cell r="M46">
            <v>612293</v>
          </cell>
          <cell r="N46">
            <v>0</v>
          </cell>
          <cell r="O46">
            <v>0</v>
          </cell>
          <cell r="P46">
            <v>32.963999999999999</v>
          </cell>
        </row>
        <row r="47">
          <cell r="B47">
            <v>431126</v>
          </cell>
          <cell r="C47" t="str">
            <v>0100120</v>
          </cell>
          <cell r="D47" t="str">
            <v>GREEN, ANDREW H.</v>
          </cell>
          <cell r="E47" t="str">
            <v>SLREPN</v>
          </cell>
          <cell r="F47" t="str">
            <v>Sales Representative (noncomm)</v>
          </cell>
          <cell r="G47">
            <v>0</v>
          </cell>
          <cell r="H47">
            <v>0</v>
          </cell>
          <cell r="I47" t="str">
            <v>NonU</v>
          </cell>
          <cell r="J47">
            <v>0</v>
          </cell>
          <cell r="K47">
            <v>36395</v>
          </cell>
          <cell r="L47">
            <v>0</v>
          </cell>
          <cell r="M47">
            <v>431126</v>
          </cell>
          <cell r="N47">
            <v>0</v>
          </cell>
          <cell r="O47">
            <v>0</v>
          </cell>
          <cell r="P47">
            <v>31.826000000000001</v>
          </cell>
        </row>
        <row r="48">
          <cell r="B48">
            <v>600014</v>
          </cell>
          <cell r="C48" t="str">
            <v>0100010</v>
          </cell>
          <cell r="D48" t="str">
            <v>DAVISON, SEAN W.</v>
          </cell>
          <cell r="E48" t="str">
            <v>OPSMG</v>
          </cell>
          <cell r="F48" t="str">
            <v>Operations Manager</v>
          </cell>
          <cell r="G48">
            <v>0</v>
          </cell>
          <cell r="H48">
            <v>0</v>
          </cell>
          <cell r="I48" t="str">
            <v>NonU</v>
          </cell>
          <cell r="J48">
            <v>0</v>
          </cell>
          <cell r="K48">
            <v>37074</v>
          </cell>
          <cell r="L48">
            <v>0</v>
          </cell>
          <cell r="M48">
            <v>600014</v>
          </cell>
          <cell r="N48">
            <v>0</v>
          </cell>
          <cell r="O48">
            <v>0</v>
          </cell>
          <cell r="P48">
            <v>39.783000000000001</v>
          </cell>
        </row>
        <row r="49">
          <cell r="B49">
            <v>43975</v>
          </cell>
          <cell r="C49" t="str">
            <v>0100010</v>
          </cell>
          <cell r="D49" t="str">
            <v>PARSONS, LANCE</v>
          </cell>
          <cell r="E49" t="str">
            <v>OPSUP</v>
          </cell>
          <cell r="F49" t="str">
            <v>Operations Supvsr</v>
          </cell>
          <cell r="G49">
            <v>0</v>
          </cell>
          <cell r="H49" t="str">
            <v>OFC</v>
          </cell>
          <cell r="I49" t="str">
            <v>NonU</v>
          </cell>
          <cell r="J49">
            <v>0</v>
          </cell>
          <cell r="K49">
            <v>31936</v>
          </cell>
          <cell r="L49">
            <v>0</v>
          </cell>
          <cell r="M49">
            <v>43975</v>
          </cell>
          <cell r="N49">
            <v>0</v>
          </cell>
          <cell r="O49">
            <v>0</v>
          </cell>
          <cell r="P49">
            <v>36.732999999999997</v>
          </cell>
        </row>
        <row r="50">
          <cell r="B50">
            <v>4552961</v>
          </cell>
          <cell r="C50" t="str">
            <v>0100011</v>
          </cell>
          <cell r="D50" t="str">
            <v>ZHANG, KEVIN M.</v>
          </cell>
          <cell r="E50" t="str">
            <v>RTMPS</v>
          </cell>
          <cell r="F50" t="str">
            <v>Route Mapping Specialist</v>
          </cell>
          <cell r="G50">
            <v>0</v>
          </cell>
          <cell r="H50" t="str">
            <v>OFC</v>
          </cell>
          <cell r="I50" t="str">
            <v>NonEx</v>
          </cell>
          <cell r="J50">
            <v>0</v>
          </cell>
          <cell r="K50">
            <v>40651</v>
          </cell>
          <cell r="L50">
            <v>0</v>
          </cell>
          <cell r="M50">
            <v>4552961</v>
          </cell>
          <cell r="N50">
            <v>0</v>
          </cell>
          <cell r="O50" t="str">
            <v>Pay Start Date</v>
          </cell>
          <cell r="P50">
            <v>25.875</v>
          </cell>
        </row>
        <row r="51">
          <cell r="B51">
            <v>4593510</v>
          </cell>
          <cell r="C51" t="str">
            <v>0100120</v>
          </cell>
          <cell r="D51" t="str">
            <v>KATONA, ANDREW J.</v>
          </cell>
          <cell r="E51" t="str">
            <v>SLREPN</v>
          </cell>
          <cell r="F51" t="str">
            <v>Sales Representative (noncomm)</v>
          </cell>
          <cell r="G51">
            <v>0</v>
          </cell>
          <cell r="H51" t="str">
            <v>OFC</v>
          </cell>
          <cell r="I51" t="str">
            <v>NonU</v>
          </cell>
          <cell r="J51">
            <v>0</v>
          </cell>
          <cell r="K51">
            <v>40437</v>
          </cell>
          <cell r="L51">
            <v>0</v>
          </cell>
          <cell r="M51">
            <v>4593510</v>
          </cell>
          <cell r="N51">
            <v>0</v>
          </cell>
          <cell r="O51">
            <v>0</v>
          </cell>
          <cell r="P51">
            <v>31.045999999999999</v>
          </cell>
        </row>
        <row r="52">
          <cell r="B52">
            <v>3416968</v>
          </cell>
          <cell r="C52" t="str">
            <v>0100120</v>
          </cell>
          <cell r="D52" t="str">
            <v>VALLE TREFREN, MARIA E.</v>
          </cell>
          <cell r="E52" t="str">
            <v>DIVAUD</v>
          </cell>
          <cell r="F52" t="str">
            <v>Diversion Auditor</v>
          </cell>
          <cell r="G52">
            <v>0</v>
          </cell>
          <cell r="H52" t="str">
            <v>OFC</v>
          </cell>
          <cell r="I52" t="str">
            <v>NonEx</v>
          </cell>
          <cell r="J52">
            <v>0</v>
          </cell>
          <cell r="K52">
            <v>39286</v>
          </cell>
          <cell r="L52">
            <v>0</v>
          </cell>
          <cell r="M52">
            <v>3416968</v>
          </cell>
          <cell r="N52">
            <v>0</v>
          </cell>
          <cell r="O52">
            <v>0</v>
          </cell>
          <cell r="P52">
            <v>25.655999999999999</v>
          </cell>
        </row>
        <row r="53">
          <cell r="B53">
            <v>3536880</v>
          </cell>
          <cell r="C53" t="str">
            <v>0100120</v>
          </cell>
          <cell r="D53" t="str">
            <v>OBERMEIT, HEIDI M.</v>
          </cell>
          <cell r="E53" t="str">
            <v>DIVAUD</v>
          </cell>
          <cell r="F53" t="str">
            <v>Diversion Auditor</v>
          </cell>
          <cell r="G53">
            <v>0</v>
          </cell>
          <cell r="H53" t="str">
            <v>OFC</v>
          </cell>
          <cell r="I53" t="str">
            <v>NonEx</v>
          </cell>
          <cell r="J53">
            <v>0</v>
          </cell>
          <cell r="K53">
            <v>39323</v>
          </cell>
          <cell r="L53">
            <v>0</v>
          </cell>
          <cell r="M53">
            <v>3536880</v>
          </cell>
          <cell r="N53">
            <v>0</v>
          </cell>
          <cell r="O53">
            <v>0</v>
          </cell>
          <cell r="P53">
            <v>25.655999999999999</v>
          </cell>
        </row>
        <row r="54">
          <cell r="B54">
            <v>3756292</v>
          </cell>
          <cell r="C54" t="str">
            <v>0100120</v>
          </cell>
          <cell r="D54" t="str">
            <v>KLING, DANIEL T.</v>
          </cell>
          <cell r="E54" t="str">
            <v>DIVAUD</v>
          </cell>
          <cell r="F54" t="str">
            <v>Diversion Auditor</v>
          </cell>
          <cell r="G54">
            <v>0</v>
          </cell>
          <cell r="H54" t="str">
            <v>OFC</v>
          </cell>
          <cell r="I54" t="str">
            <v>NonEx</v>
          </cell>
          <cell r="J54">
            <v>0</v>
          </cell>
          <cell r="K54">
            <v>39416</v>
          </cell>
          <cell r="L54">
            <v>0</v>
          </cell>
          <cell r="M54">
            <v>3756292</v>
          </cell>
          <cell r="N54">
            <v>0</v>
          </cell>
          <cell r="O54">
            <v>0</v>
          </cell>
          <cell r="P54">
            <v>24.405999999999999</v>
          </cell>
        </row>
        <row r="55">
          <cell r="B55">
            <v>20618</v>
          </cell>
          <cell r="C55" t="str">
            <v>0100010</v>
          </cell>
          <cell r="D55" t="str">
            <v>TRAVERSO, THOMAS L</v>
          </cell>
          <cell r="E55" t="str">
            <v>RTELD</v>
          </cell>
          <cell r="F55" t="str">
            <v>Route Leadperson</v>
          </cell>
          <cell r="G55" t="str">
            <v>350G</v>
          </cell>
          <cell r="H55" t="str">
            <v>DSP</v>
          </cell>
          <cell r="I55" t="str">
            <v>Driver - Lead</v>
          </cell>
          <cell r="J55">
            <v>0</v>
          </cell>
          <cell r="K55">
            <v>25965</v>
          </cell>
          <cell r="L55">
            <v>0</v>
          </cell>
          <cell r="M55">
            <v>20618</v>
          </cell>
          <cell r="N55">
            <v>0</v>
          </cell>
          <cell r="O55">
            <v>0</v>
          </cell>
          <cell r="P55">
            <v>42.23</v>
          </cell>
        </row>
        <row r="56">
          <cell r="B56">
            <v>20773</v>
          </cell>
          <cell r="C56" t="str">
            <v>0100060</v>
          </cell>
          <cell r="D56" t="str">
            <v>GONZALEZ, HECTOR M.</v>
          </cell>
          <cell r="E56" t="str">
            <v>DRDBOX</v>
          </cell>
          <cell r="F56" t="str">
            <v>Driver - Debris Box</v>
          </cell>
          <cell r="G56" t="str">
            <v>350G</v>
          </cell>
          <cell r="H56" t="str">
            <v>DSP</v>
          </cell>
          <cell r="I56" t="str">
            <v>Driver - Lead</v>
          </cell>
          <cell r="J56">
            <v>0</v>
          </cell>
          <cell r="K56">
            <v>26882</v>
          </cell>
          <cell r="L56">
            <v>0</v>
          </cell>
          <cell r="M56">
            <v>20773</v>
          </cell>
          <cell r="N56">
            <v>0</v>
          </cell>
          <cell r="O56">
            <v>0</v>
          </cell>
          <cell r="P56">
            <v>42.23</v>
          </cell>
        </row>
        <row r="57">
          <cell r="B57">
            <v>20870</v>
          </cell>
          <cell r="C57" t="str">
            <v>0100010</v>
          </cell>
          <cell r="D57" t="str">
            <v>PICAZO, ENGELBERT</v>
          </cell>
          <cell r="E57" t="str">
            <v>DRCOM</v>
          </cell>
          <cell r="F57" t="str">
            <v>Driver - Commercial</v>
          </cell>
          <cell r="G57" t="str">
            <v>350G</v>
          </cell>
          <cell r="H57" t="str">
            <v>DSP</v>
          </cell>
          <cell r="I57" t="str">
            <v>Driver - Lead</v>
          </cell>
          <cell r="J57">
            <v>0</v>
          </cell>
          <cell r="K57">
            <v>26897</v>
          </cell>
          <cell r="L57">
            <v>0</v>
          </cell>
          <cell r="M57">
            <v>20870</v>
          </cell>
          <cell r="N57">
            <v>0</v>
          </cell>
          <cell r="O57">
            <v>0</v>
          </cell>
          <cell r="P57">
            <v>42.23</v>
          </cell>
        </row>
        <row r="58">
          <cell r="B58">
            <v>21961</v>
          </cell>
          <cell r="C58" t="str">
            <v>0100014</v>
          </cell>
          <cell r="D58" t="str">
            <v>PADILLA, ABEL</v>
          </cell>
          <cell r="E58" t="str">
            <v>FTSTC3</v>
          </cell>
          <cell r="F58" t="str">
            <v>Driver - Fantastic 3</v>
          </cell>
          <cell r="G58" t="str">
            <v>350G</v>
          </cell>
          <cell r="H58" t="str">
            <v>DSP</v>
          </cell>
          <cell r="I58" t="str">
            <v>Driver - Lead</v>
          </cell>
          <cell r="J58">
            <v>0</v>
          </cell>
          <cell r="K58">
            <v>27955</v>
          </cell>
          <cell r="L58">
            <v>0</v>
          </cell>
          <cell r="M58">
            <v>21961</v>
          </cell>
          <cell r="N58">
            <v>0</v>
          </cell>
          <cell r="O58">
            <v>0</v>
          </cell>
          <cell r="P58">
            <v>42.23</v>
          </cell>
        </row>
        <row r="59">
          <cell r="B59">
            <v>20651</v>
          </cell>
          <cell r="C59" t="str">
            <v>0100060</v>
          </cell>
          <cell r="D59" t="str">
            <v>BAISLEY, CARL</v>
          </cell>
          <cell r="E59" t="str">
            <v>DRDBOX</v>
          </cell>
          <cell r="F59" t="str">
            <v>Driver - Debris Box</v>
          </cell>
          <cell r="G59" t="str">
            <v>350G</v>
          </cell>
          <cell r="H59" t="str">
            <v>DSP</v>
          </cell>
          <cell r="I59" t="str">
            <v>Driver - Lead</v>
          </cell>
          <cell r="J59">
            <v>0</v>
          </cell>
          <cell r="K59">
            <v>28163</v>
          </cell>
          <cell r="L59">
            <v>0</v>
          </cell>
          <cell r="M59">
            <v>20651</v>
          </cell>
          <cell r="N59">
            <v>0</v>
          </cell>
          <cell r="O59">
            <v>0</v>
          </cell>
          <cell r="P59">
            <v>42.23</v>
          </cell>
        </row>
        <row r="60">
          <cell r="B60">
            <v>20765</v>
          </cell>
          <cell r="C60" t="str">
            <v>0100060</v>
          </cell>
          <cell r="D60" t="str">
            <v>GONZALEZ, FERNANDO</v>
          </cell>
          <cell r="E60" t="str">
            <v>DRDBOX</v>
          </cell>
          <cell r="F60" t="str">
            <v>Driver - Debris Box</v>
          </cell>
          <cell r="G60" t="str">
            <v>350G</v>
          </cell>
          <cell r="H60" t="str">
            <v>DSP</v>
          </cell>
          <cell r="I60" t="str">
            <v>Driver - Lead</v>
          </cell>
          <cell r="J60">
            <v>0</v>
          </cell>
          <cell r="K60">
            <v>28281</v>
          </cell>
          <cell r="L60">
            <v>0</v>
          </cell>
          <cell r="M60">
            <v>20765</v>
          </cell>
          <cell r="N60">
            <v>0</v>
          </cell>
          <cell r="O60">
            <v>0</v>
          </cell>
          <cell r="P60">
            <v>42.23</v>
          </cell>
        </row>
        <row r="61">
          <cell r="B61">
            <v>21805</v>
          </cell>
          <cell r="C61" t="str">
            <v>0100014</v>
          </cell>
          <cell r="D61" t="str">
            <v>GONZALEZ, GREGORIO</v>
          </cell>
          <cell r="E61" t="str">
            <v>FTSTC3</v>
          </cell>
          <cell r="F61" t="str">
            <v>Driver - Fantastic 3</v>
          </cell>
          <cell r="G61" t="str">
            <v>350G</v>
          </cell>
          <cell r="H61" t="str">
            <v>DSP</v>
          </cell>
          <cell r="I61" t="str">
            <v>Driver - Lead</v>
          </cell>
          <cell r="J61">
            <v>0</v>
          </cell>
          <cell r="K61">
            <v>28283</v>
          </cell>
          <cell r="L61">
            <v>0</v>
          </cell>
          <cell r="M61">
            <v>21805</v>
          </cell>
          <cell r="N61">
            <v>0</v>
          </cell>
          <cell r="O61">
            <v>0</v>
          </cell>
          <cell r="P61">
            <v>42.23</v>
          </cell>
        </row>
        <row r="62">
          <cell r="B62">
            <v>20491</v>
          </cell>
          <cell r="C62" t="str">
            <v>0100041</v>
          </cell>
          <cell r="D62" t="str">
            <v>GIANNONE, LUIGINO S.</v>
          </cell>
          <cell r="E62" t="str">
            <v>DRFTLR</v>
          </cell>
          <cell r="F62" t="str">
            <v>Driver - Frontloader</v>
          </cell>
          <cell r="G62" t="str">
            <v>350G</v>
          </cell>
          <cell r="H62" t="str">
            <v>DSP</v>
          </cell>
          <cell r="I62" t="str">
            <v>Driver - Lead</v>
          </cell>
          <cell r="J62">
            <v>0</v>
          </cell>
          <cell r="K62">
            <v>28296</v>
          </cell>
          <cell r="L62">
            <v>0</v>
          </cell>
          <cell r="M62">
            <v>20491</v>
          </cell>
          <cell r="N62">
            <v>0</v>
          </cell>
          <cell r="O62">
            <v>0</v>
          </cell>
          <cell r="P62">
            <v>42.23</v>
          </cell>
        </row>
        <row r="63">
          <cell r="B63">
            <v>21362</v>
          </cell>
          <cell r="C63" t="str">
            <v>0100120</v>
          </cell>
          <cell r="D63" t="str">
            <v>PESSAGNO, ROBERT L.</v>
          </cell>
          <cell r="E63" t="str">
            <v>DRCOM</v>
          </cell>
          <cell r="F63" t="str">
            <v>Driver - Commercial</v>
          </cell>
          <cell r="G63" t="str">
            <v>350G</v>
          </cell>
          <cell r="H63" t="str">
            <v>DSP</v>
          </cell>
          <cell r="I63" t="str">
            <v>Driver - Lead</v>
          </cell>
          <cell r="J63">
            <v>0</v>
          </cell>
          <cell r="K63">
            <v>28649</v>
          </cell>
          <cell r="L63">
            <v>0</v>
          </cell>
          <cell r="M63">
            <v>21362</v>
          </cell>
          <cell r="N63">
            <v>0</v>
          </cell>
          <cell r="O63">
            <v>0</v>
          </cell>
          <cell r="P63">
            <v>42.23</v>
          </cell>
        </row>
        <row r="64">
          <cell r="B64">
            <v>21792</v>
          </cell>
          <cell r="C64" t="str">
            <v>0100060</v>
          </cell>
          <cell r="D64" t="str">
            <v>GONZALEZ, GABRIEL</v>
          </cell>
          <cell r="E64" t="str">
            <v>DRDBOX</v>
          </cell>
          <cell r="F64" t="str">
            <v>Driver - Debris Box</v>
          </cell>
          <cell r="G64" t="str">
            <v>350G</v>
          </cell>
          <cell r="H64" t="str">
            <v>DSP</v>
          </cell>
          <cell r="I64" t="str">
            <v>Driver - Lead</v>
          </cell>
          <cell r="J64">
            <v>0</v>
          </cell>
          <cell r="K64">
            <v>28947</v>
          </cell>
          <cell r="L64">
            <v>0</v>
          </cell>
          <cell r="M64">
            <v>21792</v>
          </cell>
          <cell r="N64">
            <v>0</v>
          </cell>
          <cell r="O64">
            <v>0</v>
          </cell>
          <cell r="P64">
            <v>42.23</v>
          </cell>
        </row>
        <row r="65">
          <cell r="B65">
            <v>21389</v>
          </cell>
          <cell r="C65" t="str">
            <v>0100010</v>
          </cell>
          <cell r="D65" t="str">
            <v>PICAZO, RUBEN</v>
          </cell>
          <cell r="E65" t="str">
            <v>DRIVER</v>
          </cell>
          <cell r="F65" t="str">
            <v>Driver</v>
          </cell>
          <cell r="G65" t="str">
            <v>350G</v>
          </cell>
          <cell r="H65" t="str">
            <v>DSP</v>
          </cell>
          <cell r="I65" t="str">
            <v>Driver - Reg.</v>
          </cell>
          <cell r="J65">
            <v>0</v>
          </cell>
          <cell r="K65">
            <v>29021</v>
          </cell>
          <cell r="L65">
            <v>0</v>
          </cell>
          <cell r="M65">
            <v>21389</v>
          </cell>
          <cell r="N65">
            <v>0</v>
          </cell>
          <cell r="O65">
            <v>0</v>
          </cell>
          <cell r="P65">
            <v>42.23</v>
          </cell>
        </row>
        <row r="66">
          <cell r="B66">
            <v>20511</v>
          </cell>
          <cell r="C66" t="str">
            <v>0100200</v>
          </cell>
          <cell r="D66" t="str">
            <v>MARCHINI, ANDREA</v>
          </cell>
          <cell r="E66" t="str">
            <v>FTSTC3</v>
          </cell>
          <cell r="F66" t="str">
            <v>Driver - Fantastic 3</v>
          </cell>
          <cell r="G66" t="str">
            <v>350G</v>
          </cell>
          <cell r="H66" t="str">
            <v>DSP</v>
          </cell>
          <cell r="I66" t="str">
            <v>Driver - Lead</v>
          </cell>
          <cell r="J66">
            <v>0</v>
          </cell>
          <cell r="K66">
            <v>29065</v>
          </cell>
          <cell r="L66">
            <v>0</v>
          </cell>
          <cell r="M66">
            <v>20511</v>
          </cell>
          <cell r="N66">
            <v>0</v>
          </cell>
          <cell r="O66">
            <v>0</v>
          </cell>
          <cell r="P66">
            <v>42.23</v>
          </cell>
        </row>
        <row r="67">
          <cell r="B67">
            <v>21434</v>
          </cell>
          <cell r="C67" t="str">
            <v>0100014</v>
          </cell>
          <cell r="D67" t="str">
            <v>REYNOSO, ALFONSO G.</v>
          </cell>
          <cell r="E67" t="str">
            <v>FTSTC3</v>
          </cell>
          <cell r="F67" t="str">
            <v>Driver - Fantastic 3</v>
          </cell>
          <cell r="G67" t="str">
            <v>350G</v>
          </cell>
          <cell r="H67" t="str">
            <v>DSP</v>
          </cell>
          <cell r="I67" t="str">
            <v>Driver - Lead</v>
          </cell>
          <cell r="J67">
            <v>0</v>
          </cell>
          <cell r="K67">
            <v>29073</v>
          </cell>
          <cell r="L67">
            <v>0</v>
          </cell>
          <cell r="M67">
            <v>21434</v>
          </cell>
          <cell r="N67">
            <v>0</v>
          </cell>
          <cell r="O67">
            <v>0</v>
          </cell>
          <cell r="P67">
            <v>42.23</v>
          </cell>
        </row>
        <row r="68">
          <cell r="B68">
            <v>21194</v>
          </cell>
          <cell r="C68" t="str">
            <v>0100300</v>
          </cell>
          <cell r="D68" t="str">
            <v>GONZALEZ, LUIS G</v>
          </cell>
          <cell r="E68" t="str">
            <v>DRDBOX</v>
          </cell>
          <cell r="F68" t="str">
            <v>Driver - Debris Box</v>
          </cell>
          <cell r="G68" t="str">
            <v>350G</v>
          </cell>
          <cell r="H68" t="str">
            <v>DSP</v>
          </cell>
          <cell r="I68" t="str">
            <v>Driver - Lead</v>
          </cell>
          <cell r="J68">
            <v>0</v>
          </cell>
          <cell r="K68">
            <v>29283</v>
          </cell>
          <cell r="L68">
            <v>0</v>
          </cell>
          <cell r="M68">
            <v>21194</v>
          </cell>
          <cell r="N68">
            <v>0</v>
          </cell>
          <cell r="O68">
            <v>0</v>
          </cell>
          <cell r="P68">
            <v>42.23</v>
          </cell>
        </row>
        <row r="69">
          <cell r="B69">
            <v>21320</v>
          </cell>
          <cell r="C69" t="str">
            <v>0100014</v>
          </cell>
          <cell r="D69" t="str">
            <v>PADILLA, OCTAVIO</v>
          </cell>
          <cell r="E69" t="str">
            <v>HELPER</v>
          </cell>
          <cell r="F69" t="str">
            <v>Helper</v>
          </cell>
          <cell r="G69" t="str">
            <v>350G</v>
          </cell>
          <cell r="H69" t="str">
            <v>DSP</v>
          </cell>
          <cell r="I69" t="str">
            <v>Helper</v>
          </cell>
          <cell r="J69">
            <v>0</v>
          </cell>
          <cell r="K69">
            <v>29416</v>
          </cell>
          <cell r="L69">
            <v>0</v>
          </cell>
          <cell r="M69">
            <v>21320</v>
          </cell>
          <cell r="N69">
            <v>0</v>
          </cell>
          <cell r="O69">
            <v>0</v>
          </cell>
          <cell r="P69">
            <v>40.18</v>
          </cell>
        </row>
        <row r="70">
          <cell r="B70">
            <v>21135</v>
          </cell>
          <cell r="C70" t="str">
            <v>0100014</v>
          </cell>
          <cell r="D70" t="str">
            <v>FRIAS, MOISES</v>
          </cell>
          <cell r="E70" t="str">
            <v>FTSTC3</v>
          </cell>
          <cell r="F70" t="str">
            <v>Driver - Fantastic 3</v>
          </cell>
          <cell r="G70" t="str">
            <v>350G</v>
          </cell>
          <cell r="H70" t="str">
            <v>DSP</v>
          </cell>
          <cell r="I70" t="str">
            <v>Driver - Lead</v>
          </cell>
          <cell r="J70">
            <v>0</v>
          </cell>
          <cell r="K70">
            <v>29453</v>
          </cell>
          <cell r="L70">
            <v>0</v>
          </cell>
          <cell r="M70">
            <v>21135</v>
          </cell>
          <cell r="N70">
            <v>0</v>
          </cell>
          <cell r="O70">
            <v>0</v>
          </cell>
          <cell r="P70">
            <v>42.23</v>
          </cell>
        </row>
        <row r="71">
          <cell r="B71">
            <v>21240</v>
          </cell>
          <cell r="C71" t="str">
            <v>0100120</v>
          </cell>
          <cell r="D71" t="str">
            <v>LOPEZ, MANUEL</v>
          </cell>
          <cell r="E71" t="str">
            <v>DRCOM</v>
          </cell>
          <cell r="F71" t="str">
            <v>Driver - Commercial</v>
          </cell>
          <cell r="G71" t="str">
            <v>350G</v>
          </cell>
          <cell r="H71" t="str">
            <v>DSP</v>
          </cell>
          <cell r="I71" t="str">
            <v>Driver - Lead</v>
          </cell>
          <cell r="J71">
            <v>0</v>
          </cell>
          <cell r="K71">
            <v>29453</v>
          </cell>
          <cell r="L71">
            <v>0</v>
          </cell>
          <cell r="M71">
            <v>21240</v>
          </cell>
          <cell r="N71">
            <v>0</v>
          </cell>
          <cell r="O71">
            <v>0</v>
          </cell>
          <cell r="P71">
            <v>42.23</v>
          </cell>
        </row>
        <row r="72">
          <cell r="B72">
            <v>20941</v>
          </cell>
          <cell r="C72" t="str">
            <v>0100060</v>
          </cell>
          <cell r="D72" t="str">
            <v>ALCANTAR, JOSE F</v>
          </cell>
          <cell r="E72" t="str">
            <v>DRDBOX</v>
          </cell>
          <cell r="F72" t="str">
            <v>Driver - Debris Box</v>
          </cell>
          <cell r="G72" t="str">
            <v>350G</v>
          </cell>
          <cell r="H72" t="str">
            <v>DSP</v>
          </cell>
          <cell r="I72" t="str">
            <v>Driver - Lead</v>
          </cell>
          <cell r="J72">
            <v>0</v>
          </cell>
          <cell r="K72">
            <v>29458</v>
          </cell>
          <cell r="L72">
            <v>0</v>
          </cell>
          <cell r="M72">
            <v>20941</v>
          </cell>
          <cell r="N72">
            <v>0</v>
          </cell>
          <cell r="O72">
            <v>0</v>
          </cell>
          <cell r="P72">
            <v>42.23</v>
          </cell>
        </row>
        <row r="73">
          <cell r="B73">
            <v>20271</v>
          </cell>
          <cell r="C73" t="str">
            <v>0100510</v>
          </cell>
          <cell r="D73" t="str">
            <v>CATENA, PAUL A.</v>
          </cell>
          <cell r="E73" t="str">
            <v>FOREA2</v>
          </cell>
          <cell r="F73" t="str">
            <v>Foreperson - Shop (ASE 2)</v>
          </cell>
          <cell r="G73" t="str">
            <v>350G</v>
          </cell>
          <cell r="H73" t="str">
            <v>SHP</v>
          </cell>
          <cell r="I73" t="str">
            <v>350G</v>
          </cell>
          <cell r="J73">
            <v>0</v>
          </cell>
          <cell r="K73">
            <v>29706</v>
          </cell>
          <cell r="L73">
            <v>0</v>
          </cell>
          <cell r="M73">
            <v>20271</v>
          </cell>
          <cell r="N73">
            <v>0</v>
          </cell>
          <cell r="O73">
            <v>0</v>
          </cell>
          <cell r="P73">
            <v>49.965000000000003</v>
          </cell>
        </row>
        <row r="74">
          <cell r="B74">
            <v>20280</v>
          </cell>
          <cell r="C74" t="str">
            <v>0100060</v>
          </cell>
          <cell r="D74" t="str">
            <v>COSTANTINI, OSCAR</v>
          </cell>
          <cell r="E74" t="str">
            <v>DRDBOX</v>
          </cell>
          <cell r="F74" t="str">
            <v>Driver - Debris Box</v>
          </cell>
          <cell r="G74" t="str">
            <v>350G</v>
          </cell>
          <cell r="H74" t="str">
            <v>DSP</v>
          </cell>
          <cell r="I74" t="str">
            <v>Driver - Lead</v>
          </cell>
          <cell r="J74">
            <v>0</v>
          </cell>
          <cell r="K74">
            <v>29707</v>
          </cell>
          <cell r="L74">
            <v>0</v>
          </cell>
          <cell r="M74">
            <v>20280</v>
          </cell>
          <cell r="N74">
            <v>0</v>
          </cell>
          <cell r="O74">
            <v>0</v>
          </cell>
          <cell r="P74">
            <v>42.23</v>
          </cell>
        </row>
        <row r="75">
          <cell r="B75">
            <v>21151</v>
          </cell>
          <cell r="C75" t="str">
            <v>0100014</v>
          </cell>
          <cell r="D75" t="str">
            <v>GIULIACCI, MARCO P</v>
          </cell>
          <cell r="E75" t="str">
            <v>FTSTC3</v>
          </cell>
          <cell r="F75" t="str">
            <v>Driver - Fantastic 3</v>
          </cell>
          <cell r="G75" t="str">
            <v>350G</v>
          </cell>
          <cell r="H75" t="str">
            <v>DSP</v>
          </cell>
          <cell r="I75" t="str">
            <v>Driver - Lead</v>
          </cell>
          <cell r="J75">
            <v>0</v>
          </cell>
          <cell r="K75">
            <v>29709</v>
          </cell>
          <cell r="L75">
            <v>0</v>
          </cell>
          <cell r="M75">
            <v>21151</v>
          </cell>
          <cell r="N75">
            <v>0</v>
          </cell>
          <cell r="O75">
            <v>0</v>
          </cell>
          <cell r="P75">
            <v>42.23</v>
          </cell>
        </row>
        <row r="76">
          <cell r="B76">
            <v>20722</v>
          </cell>
          <cell r="C76" t="str">
            <v>0100060</v>
          </cell>
          <cell r="D76" t="str">
            <v>FERGUSON, KEITH</v>
          </cell>
          <cell r="E76" t="str">
            <v>DRDBOX</v>
          </cell>
          <cell r="F76" t="str">
            <v>Driver - Debris Box</v>
          </cell>
          <cell r="G76" t="str">
            <v>350G</v>
          </cell>
          <cell r="H76" t="str">
            <v>DSP</v>
          </cell>
          <cell r="I76" t="str">
            <v>Driver - Lead</v>
          </cell>
          <cell r="J76">
            <v>0</v>
          </cell>
          <cell r="K76">
            <v>29724</v>
          </cell>
          <cell r="L76">
            <v>0</v>
          </cell>
          <cell r="M76">
            <v>20722</v>
          </cell>
          <cell r="N76">
            <v>0</v>
          </cell>
          <cell r="O76">
            <v>0</v>
          </cell>
          <cell r="P76">
            <v>42.23</v>
          </cell>
        </row>
        <row r="77">
          <cell r="B77">
            <v>21565</v>
          </cell>
          <cell r="C77" t="str">
            <v>0100014</v>
          </cell>
          <cell r="D77" t="str">
            <v>BALLESTRAZZE, MARIO</v>
          </cell>
          <cell r="E77" t="str">
            <v>HELPER</v>
          </cell>
          <cell r="F77" t="str">
            <v>Helper</v>
          </cell>
          <cell r="G77" t="str">
            <v>350G</v>
          </cell>
          <cell r="H77" t="str">
            <v>DSP</v>
          </cell>
          <cell r="I77" t="str">
            <v>Helper</v>
          </cell>
          <cell r="J77">
            <v>0</v>
          </cell>
          <cell r="K77">
            <v>29738</v>
          </cell>
          <cell r="L77">
            <v>0</v>
          </cell>
          <cell r="M77">
            <v>21565</v>
          </cell>
          <cell r="N77">
            <v>0</v>
          </cell>
          <cell r="O77">
            <v>0</v>
          </cell>
          <cell r="P77">
            <v>40.18</v>
          </cell>
        </row>
        <row r="78">
          <cell r="B78">
            <v>21645</v>
          </cell>
          <cell r="C78" t="str">
            <v>0100014</v>
          </cell>
          <cell r="D78" t="str">
            <v>CHING, DANNY</v>
          </cell>
          <cell r="E78" t="str">
            <v>FTSTC3</v>
          </cell>
          <cell r="F78" t="str">
            <v>Driver - Fantastic 3</v>
          </cell>
          <cell r="G78" t="str">
            <v>350G</v>
          </cell>
          <cell r="H78" t="str">
            <v>DSP</v>
          </cell>
          <cell r="I78" t="str">
            <v>Driver - Lead</v>
          </cell>
          <cell r="J78">
            <v>0</v>
          </cell>
          <cell r="K78">
            <v>29749</v>
          </cell>
          <cell r="L78">
            <v>0</v>
          </cell>
          <cell r="M78">
            <v>21645</v>
          </cell>
          <cell r="N78">
            <v>0</v>
          </cell>
          <cell r="O78">
            <v>0</v>
          </cell>
          <cell r="P78">
            <v>42.23</v>
          </cell>
        </row>
        <row r="79">
          <cell r="B79">
            <v>21944</v>
          </cell>
          <cell r="C79" t="str">
            <v>0100014</v>
          </cell>
          <cell r="D79" t="str">
            <v>MORALES, JOSE</v>
          </cell>
          <cell r="E79" t="str">
            <v>FTSTC3</v>
          </cell>
          <cell r="F79" t="str">
            <v>Driver - Fantastic 3</v>
          </cell>
          <cell r="G79" t="str">
            <v>350G</v>
          </cell>
          <cell r="H79" t="str">
            <v>DSP</v>
          </cell>
          <cell r="I79" t="str">
            <v>Driver - Lead</v>
          </cell>
          <cell r="J79">
            <v>0</v>
          </cell>
          <cell r="K79">
            <v>30117</v>
          </cell>
          <cell r="L79">
            <v>0</v>
          </cell>
          <cell r="M79">
            <v>21944</v>
          </cell>
          <cell r="N79">
            <v>0</v>
          </cell>
          <cell r="O79">
            <v>0</v>
          </cell>
          <cell r="P79">
            <v>42.23</v>
          </cell>
        </row>
        <row r="80">
          <cell r="B80">
            <v>21400</v>
          </cell>
          <cell r="C80" t="str">
            <v>0100014</v>
          </cell>
          <cell r="D80" t="str">
            <v>PUCCINELLI, DAVID J</v>
          </cell>
          <cell r="E80" t="str">
            <v>FTSTC3</v>
          </cell>
          <cell r="F80" t="str">
            <v>Driver - Fantastic 3</v>
          </cell>
          <cell r="G80" t="str">
            <v>350G</v>
          </cell>
          <cell r="H80" t="str">
            <v>DSP</v>
          </cell>
          <cell r="I80" t="str">
            <v>Driver - Lead</v>
          </cell>
          <cell r="J80">
            <v>0</v>
          </cell>
          <cell r="K80">
            <v>30487</v>
          </cell>
          <cell r="L80">
            <v>0</v>
          </cell>
          <cell r="M80">
            <v>21400</v>
          </cell>
          <cell r="N80">
            <v>0</v>
          </cell>
          <cell r="O80">
            <v>0</v>
          </cell>
          <cell r="P80">
            <v>42.23</v>
          </cell>
        </row>
        <row r="81">
          <cell r="B81">
            <v>21717</v>
          </cell>
          <cell r="C81" t="str">
            <v>0100010</v>
          </cell>
          <cell r="D81" t="str">
            <v>DEVINCENZI, DARYL A</v>
          </cell>
          <cell r="E81" t="str">
            <v>DRIVER</v>
          </cell>
          <cell r="F81" t="str">
            <v>Driver</v>
          </cell>
          <cell r="G81" t="str">
            <v>350G</v>
          </cell>
          <cell r="H81" t="str">
            <v>DSP</v>
          </cell>
          <cell r="I81" t="str">
            <v>Driver - Reg.</v>
          </cell>
          <cell r="J81">
            <v>0</v>
          </cell>
          <cell r="K81">
            <v>30487</v>
          </cell>
          <cell r="L81">
            <v>0</v>
          </cell>
          <cell r="M81">
            <v>21717</v>
          </cell>
          <cell r="N81">
            <v>0</v>
          </cell>
          <cell r="O81">
            <v>0</v>
          </cell>
          <cell r="P81">
            <v>42.23</v>
          </cell>
        </row>
        <row r="82">
          <cell r="B82">
            <v>21303</v>
          </cell>
          <cell r="C82" t="str">
            <v>0100014</v>
          </cell>
          <cell r="D82" t="str">
            <v>OTTOBONI, GARY</v>
          </cell>
          <cell r="E82" t="str">
            <v>FTSTC3</v>
          </cell>
          <cell r="F82" t="str">
            <v>Driver - Fantastic 3</v>
          </cell>
          <cell r="G82" t="str">
            <v>350G</v>
          </cell>
          <cell r="H82" t="str">
            <v>DSP</v>
          </cell>
          <cell r="I82" t="str">
            <v>Driver - Lead</v>
          </cell>
          <cell r="J82">
            <v>0</v>
          </cell>
          <cell r="K82">
            <v>30578</v>
          </cell>
          <cell r="L82">
            <v>0</v>
          </cell>
          <cell r="M82">
            <v>21303</v>
          </cell>
          <cell r="N82">
            <v>0</v>
          </cell>
          <cell r="O82">
            <v>0</v>
          </cell>
          <cell r="P82">
            <v>42.23</v>
          </cell>
        </row>
        <row r="83">
          <cell r="B83">
            <v>21901</v>
          </cell>
          <cell r="C83" t="str">
            <v>0100060</v>
          </cell>
          <cell r="D83" t="str">
            <v>LUEHS, JOHN</v>
          </cell>
          <cell r="E83" t="str">
            <v>DRDBOX</v>
          </cell>
          <cell r="F83" t="str">
            <v>Driver - Debris Box</v>
          </cell>
          <cell r="G83" t="str">
            <v>350G</v>
          </cell>
          <cell r="H83" t="str">
            <v>DSP</v>
          </cell>
          <cell r="I83" t="str">
            <v>Driver - Lead</v>
          </cell>
          <cell r="J83">
            <v>0</v>
          </cell>
          <cell r="K83">
            <v>30578</v>
          </cell>
          <cell r="L83">
            <v>0</v>
          </cell>
          <cell r="M83">
            <v>21901</v>
          </cell>
          <cell r="N83">
            <v>0</v>
          </cell>
          <cell r="O83">
            <v>0</v>
          </cell>
          <cell r="P83">
            <v>42.23</v>
          </cell>
        </row>
        <row r="84">
          <cell r="B84">
            <v>21012</v>
          </cell>
          <cell r="C84" t="str">
            <v>0100014</v>
          </cell>
          <cell r="D84" t="str">
            <v>CHONG, WESLEY T.</v>
          </cell>
          <cell r="E84" t="str">
            <v>FTSTC3</v>
          </cell>
          <cell r="F84" t="str">
            <v>Driver - Fantastic 3</v>
          </cell>
          <cell r="G84" t="str">
            <v>350G</v>
          </cell>
          <cell r="H84" t="str">
            <v>DSP</v>
          </cell>
          <cell r="I84" t="str">
            <v>Driver - Lead</v>
          </cell>
          <cell r="J84">
            <v>0</v>
          </cell>
          <cell r="K84">
            <v>30641</v>
          </cell>
          <cell r="L84">
            <v>0</v>
          </cell>
          <cell r="M84">
            <v>21012</v>
          </cell>
          <cell r="N84">
            <v>0</v>
          </cell>
          <cell r="O84">
            <v>0</v>
          </cell>
          <cell r="P84">
            <v>42.23</v>
          </cell>
        </row>
        <row r="85">
          <cell r="B85">
            <v>22138</v>
          </cell>
          <cell r="C85" t="str">
            <v>0100010</v>
          </cell>
          <cell r="D85" t="str">
            <v>STORNAIUOLO, ANGELO</v>
          </cell>
          <cell r="E85" t="str">
            <v>DRIVER</v>
          </cell>
          <cell r="F85" t="str">
            <v>Driver</v>
          </cell>
          <cell r="G85" t="str">
            <v>350G</v>
          </cell>
          <cell r="H85" t="str">
            <v>DSP</v>
          </cell>
          <cell r="I85" t="str">
            <v>Driver - Reg.</v>
          </cell>
          <cell r="J85">
            <v>0</v>
          </cell>
          <cell r="K85">
            <v>30642</v>
          </cell>
          <cell r="L85">
            <v>0</v>
          </cell>
          <cell r="M85">
            <v>22138</v>
          </cell>
          <cell r="N85">
            <v>0</v>
          </cell>
          <cell r="O85">
            <v>0</v>
          </cell>
          <cell r="P85">
            <v>42.23</v>
          </cell>
        </row>
        <row r="86">
          <cell r="B86">
            <v>20968</v>
          </cell>
          <cell r="C86" t="str">
            <v>0100014</v>
          </cell>
          <cell r="D86" t="str">
            <v>AVEDANO, PAUL R</v>
          </cell>
          <cell r="E86" t="str">
            <v>HELPER</v>
          </cell>
          <cell r="F86" t="str">
            <v>Helper</v>
          </cell>
          <cell r="G86" t="str">
            <v>350G</v>
          </cell>
          <cell r="H86" t="str">
            <v>DSP</v>
          </cell>
          <cell r="I86" t="str">
            <v>Helper</v>
          </cell>
          <cell r="J86">
            <v>0</v>
          </cell>
          <cell r="K86">
            <v>30655</v>
          </cell>
          <cell r="L86">
            <v>0</v>
          </cell>
          <cell r="M86">
            <v>20968</v>
          </cell>
          <cell r="N86">
            <v>0</v>
          </cell>
          <cell r="O86">
            <v>0</v>
          </cell>
          <cell r="P86">
            <v>40.18</v>
          </cell>
        </row>
        <row r="87">
          <cell r="B87">
            <v>21047</v>
          </cell>
          <cell r="C87" t="str">
            <v>0100014</v>
          </cell>
          <cell r="D87" t="str">
            <v>CRISCI, VINCENT</v>
          </cell>
          <cell r="E87" t="str">
            <v>FTSTC3</v>
          </cell>
          <cell r="F87" t="str">
            <v>Driver - Fantastic 3</v>
          </cell>
          <cell r="G87" t="str">
            <v>350G</v>
          </cell>
          <cell r="H87" t="str">
            <v>DSP</v>
          </cell>
          <cell r="I87" t="str">
            <v>Driver - Lead</v>
          </cell>
          <cell r="J87">
            <v>0</v>
          </cell>
          <cell r="K87">
            <v>30658</v>
          </cell>
          <cell r="L87">
            <v>0</v>
          </cell>
          <cell r="M87">
            <v>21047</v>
          </cell>
          <cell r="N87">
            <v>0</v>
          </cell>
          <cell r="O87">
            <v>0</v>
          </cell>
          <cell r="P87">
            <v>42.23</v>
          </cell>
        </row>
        <row r="88">
          <cell r="B88">
            <v>21485</v>
          </cell>
          <cell r="C88" t="str">
            <v>0100120</v>
          </cell>
          <cell r="D88" t="str">
            <v>WONG, CARL</v>
          </cell>
          <cell r="E88" t="str">
            <v>DRCOM</v>
          </cell>
          <cell r="F88" t="str">
            <v>Driver - Commercial</v>
          </cell>
          <cell r="G88" t="str">
            <v>350G</v>
          </cell>
          <cell r="H88" t="str">
            <v>DSP</v>
          </cell>
          <cell r="I88" t="str">
            <v>Driver - Lead</v>
          </cell>
          <cell r="J88">
            <v>0</v>
          </cell>
          <cell r="K88">
            <v>30658</v>
          </cell>
          <cell r="L88">
            <v>0</v>
          </cell>
          <cell r="M88">
            <v>21485</v>
          </cell>
          <cell r="N88">
            <v>0</v>
          </cell>
          <cell r="O88">
            <v>0</v>
          </cell>
          <cell r="P88">
            <v>42.23</v>
          </cell>
        </row>
        <row r="89">
          <cell r="B89">
            <v>21215</v>
          </cell>
          <cell r="C89" t="str">
            <v>0100041</v>
          </cell>
          <cell r="D89" t="str">
            <v>KHO, WARLITO A</v>
          </cell>
          <cell r="E89" t="str">
            <v>DRFTLR</v>
          </cell>
          <cell r="F89" t="str">
            <v>Driver - Frontloader</v>
          </cell>
          <cell r="G89" t="str">
            <v>350G</v>
          </cell>
          <cell r="H89" t="str">
            <v>DSP</v>
          </cell>
          <cell r="I89" t="str">
            <v>Driver - Lead</v>
          </cell>
          <cell r="J89">
            <v>0</v>
          </cell>
          <cell r="K89">
            <v>30847</v>
          </cell>
          <cell r="L89">
            <v>0</v>
          </cell>
          <cell r="M89">
            <v>21215</v>
          </cell>
          <cell r="N89">
            <v>0</v>
          </cell>
          <cell r="O89">
            <v>0</v>
          </cell>
          <cell r="P89">
            <v>42.23</v>
          </cell>
        </row>
        <row r="90">
          <cell r="B90">
            <v>21477</v>
          </cell>
          <cell r="C90" t="str">
            <v>0100110</v>
          </cell>
          <cell r="D90" t="str">
            <v>TODD, DANNY W.</v>
          </cell>
          <cell r="E90" t="str">
            <v>DRCOM</v>
          </cell>
          <cell r="F90" t="str">
            <v>Driver - Commercial</v>
          </cell>
          <cell r="G90" t="str">
            <v>350G</v>
          </cell>
          <cell r="H90" t="str">
            <v>DSP</v>
          </cell>
          <cell r="I90" t="str">
            <v>Driver - Lead</v>
          </cell>
          <cell r="J90">
            <v>0</v>
          </cell>
          <cell r="K90">
            <v>30875</v>
          </cell>
          <cell r="L90">
            <v>0</v>
          </cell>
          <cell r="M90">
            <v>21477</v>
          </cell>
          <cell r="N90">
            <v>0</v>
          </cell>
          <cell r="O90">
            <v>0</v>
          </cell>
          <cell r="P90">
            <v>42.23</v>
          </cell>
        </row>
        <row r="91">
          <cell r="B91">
            <v>21506</v>
          </cell>
          <cell r="C91" t="str">
            <v>0100014</v>
          </cell>
          <cell r="D91" t="str">
            <v>ALCANTAR, ABEL</v>
          </cell>
          <cell r="E91" t="str">
            <v>FTSTC3</v>
          </cell>
          <cell r="F91" t="str">
            <v>Driver - Fantastic 3</v>
          </cell>
          <cell r="G91" t="str">
            <v>350G</v>
          </cell>
          <cell r="H91" t="str">
            <v>DSP</v>
          </cell>
          <cell r="I91" t="str">
            <v>Driver - Lead</v>
          </cell>
          <cell r="J91">
            <v>0</v>
          </cell>
          <cell r="K91">
            <v>30875</v>
          </cell>
          <cell r="L91">
            <v>0</v>
          </cell>
          <cell r="M91">
            <v>21506</v>
          </cell>
          <cell r="N91">
            <v>0</v>
          </cell>
          <cell r="O91">
            <v>0</v>
          </cell>
          <cell r="P91">
            <v>42.23</v>
          </cell>
        </row>
        <row r="92">
          <cell r="B92">
            <v>21442</v>
          </cell>
          <cell r="C92" t="str">
            <v>0100010</v>
          </cell>
          <cell r="D92" t="str">
            <v>SCIAMANNA, JOHN</v>
          </cell>
          <cell r="E92" t="str">
            <v>DRIVER</v>
          </cell>
          <cell r="F92" t="str">
            <v>Driver</v>
          </cell>
          <cell r="G92" t="str">
            <v>350G</v>
          </cell>
          <cell r="H92" t="str">
            <v>DSP</v>
          </cell>
          <cell r="I92" t="str">
            <v>Driver - Reg.</v>
          </cell>
          <cell r="J92">
            <v>0</v>
          </cell>
          <cell r="K92">
            <v>31201</v>
          </cell>
          <cell r="L92">
            <v>0</v>
          </cell>
          <cell r="M92">
            <v>21442</v>
          </cell>
          <cell r="N92">
            <v>0</v>
          </cell>
          <cell r="O92">
            <v>0</v>
          </cell>
          <cell r="P92">
            <v>42.23</v>
          </cell>
        </row>
        <row r="93">
          <cell r="B93">
            <v>21119</v>
          </cell>
          <cell r="C93" t="str">
            <v>0100014</v>
          </cell>
          <cell r="D93" t="str">
            <v>FIRPO, MICHAEL J</v>
          </cell>
          <cell r="E93" t="str">
            <v>FTSTC3</v>
          </cell>
          <cell r="F93" t="str">
            <v>Driver - Fantastic 3</v>
          </cell>
          <cell r="G93" t="str">
            <v>350G</v>
          </cell>
          <cell r="H93" t="str">
            <v>DSP</v>
          </cell>
          <cell r="I93" t="str">
            <v>Driver - Lead</v>
          </cell>
          <cell r="J93">
            <v>0</v>
          </cell>
          <cell r="K93">
            <v>31208</v>
          </cell>
          <cell r="L93">
            <v>0</v>
          </cell>
          <cell r="M93">
            <v>21119</v>
          </cell>
          <cell r="N93">
            <v>0</v>
          </cell>
          <cell r="O93">
            <v>0</v>
          </cell>
          <cell r="P93">
            <v>42.23</v>
          </cell>
        </row>
        <row r="94">
          <cell r="B94">
            <v>21768</v>
          </cell>
          <cell r="C94" t="str">
            <v>0100014</v>
          </cell>
          <cell r="D94" t="str">
            <v>FRANZOIA, DAVID J</v>
          </cell>
          <cell r="E94" t="str">
            <v>HELPER</v>
          </cell>
          <cell r="F94" t="str">
            <v>Helper</v>
          </cell>
          <cell r="G94" t="str">
            <v>350G</v>
          </cell>
          <cell r="H94" t="str">
            <v>DSP</v>
          </cell>
          <cell r="I94" t="str">
            <v>Helper</v>
          </cell>
          <cell r="J94">
            <v>0</v>
          </cell>
          <cell r="K94">
            <v>31208</v>
          </cell>
          <cell r="L94">
            <v>0</v>
          </cell>
          <cell r="M94">
            <v>21768</v>
          </cell>
          <cell r="N94">
            <v>0</v>
          </cell>
          <cell r="O94">
            <v>0</v>
          </cell>
          <cell r="P94">
            <v>40.18</v>
          </cell>
        </row>
        <row r="95">
          <cell r="B95">
            <v>21531</v>
          </cell>
          <cell r="C95" t="str">
            <v>0100014</v>
          </cell>
          <cell r="D95" t="str">
            <v>ALVAREZ, RIGOBERTO</v>
          </cell>
          <cell r="E95" t="str">
            <v>FTSTC3</v>
          </cell>
          <cell r="F95" t="str">
            <v>Driver - Fantastic 3</v>
          </cell>
          <cell r="G95" t="str">
            <v>350G</v>
          </cell>
          <cell r="H95" t="str">
            <v>DSP</v>
          </cell>
          <cell r="I95" t="str">
            <v>Driver - Lead</v>
          </cell>
          <cell r="J95">
            <v>0</v>
          </cell>
          <cell r="K95">
            <v>31243</v>
          </cell>
          <cell r="L95">
            <v>0</v>
          </cell>
          <cell r="M95">
            <v>21531</v>
          </cell>
          <cell r="N95">
            <v>0</v>
          </cell>
          <cell r="O95">
            <v>0</v>
          </cell>
          <cell r="P95">
            <v>42.23</v>
          </cell>
        </row>
        <row r="96">
          <cell r="B96">
            <v>21813</v>
          </cell>
          <cell r="C96" t="str">
            <v>0100060</v>
          </cell>
          <cell r="D96" t="str">
            <v>GONZALEZ, ISMAEL</v>
          </cell>
          <cell r="E96" t="str">
            <v>DRDBOX</v>
          </cell>
          <cell r="F96" t="str">
            <v>Driver - Debris Box</v>
          </cell>
          <cell r="G96" t="str">
            <v>350G</v>
          </cell>
          <cell r="H96" t="str">
            <v>DSP</v>
          </cell>
          <cell r="I96" t="str">
            <v>Driver - Lead</v>
          </cell>
          <cell r="J96">
            <v>0</v>
          </cell>
          <cell r="K96">
            <v>31327</v>
          </cell>
          <cell r="L96">
            <v>0</v>
          </cell>
          <cell r="M96">
            <v>21813</v>
          </cell>
          <cell r="N96">
            <v>0</v>
          </cell>
          <cell r="O96">
            <v>0</v>
          </cell>
          <cell r="P96">
            <v>42.23</v>
          </cell>
        </row>
        <row r="97">
          <cell r="B97">
            <v>20634</v>
          </cell>
          <cell r="C97" t="str">
            <v>0100060</v>
          </cell>
          <cell r="D97" t="str">
            <v>AGUILAR, GENE T</v>
          </cell>
          <cell r="E97" t="str">
            <v>DRDBOX</v>
          </cell>
          <cell r="F97" t="str">
            <v>Driver - Debris Box</v>
          </cell>
          <cell r="G97" t="str">
            <v>350G</v>
          </cell>
          <cell r="H97" t="str">
            <v>DSP</v>
          </cell>
          <cell r="I97" t="str">
            <v>Driver - Lead</v>
          </cell>
          <cell r="J97">
            <v>0</v>
          </cell>
          <cell r="K97">
            <v>31345</v>
          </cell>
          <cell r="L97">
            <v>0</v>
          </cell>
          <cell r="M97">
            <v>20634</v>
          </cell>
          <cell r="N97">
            <v>0</v>
          </cell>
          <cell r="O97">
            <v>0</v>
          </cell>
          <cell r="P97">
            <v>42.23</v>
          </cell>
        </row>
        <row r="98">
          <cell r="B98">
            <v>21750</v>
          </cell>
          <cell r="C98" t="str">
            <v>0100010</v>
          </cell>
          <cell r="D98" t="str">
            <v>FERGUSON, MARK S</v>
          </cell>
          <cell r="E98" t="str">
            <v>HELPER</v>
          </cell>
          <cell r="F98" t="str">
            <v>Helper</v>
          </cell>
          <cell r="G98" t="str">
            <v>350G</v>
          </cell>
          <cell r="H98" t="str">
            <v>DSP</v>
          </cell>
          <cell r="I98" t="str">
            <v>Helper</v>
          </cell>
          <cell r="J98">
            <v>0</v>
          </cell>
          <cell r="K98">
            <v>31370</v>
          </cell>
          <cell r="L98">
            <v>0</v>
          </cell>
          <cell r="M98">
            <v>21750</v>
          </cell>
          <cell r="N98">
            <v>0</v>
          </cell>
          <cell r="O98">
            <v>0</v>
          </cell>
          <cell r="P98">
            <v>40.18</v>
          </cell>
        </row>
        <row r="99">
          <cell r="B99">
            <v>21821</v>
          </cell>
          <cell r="C99" t="str">
            <v>0100011</v>
          </cell>
          <cell r="D99" t="str">
            <v>GRELLI, GIANFRANCO</v>
          </cell>
          <cell r="E99" t="str">
            <v>DRIVER</v>
          </cell>
          <cell r="F99" t="str">
            <v>Driver</v>
          </cell>
          <cell r="G99" t="str">
            <v>350G</v>
          </cell>
          <cell r="H99" t="str">
            <v>DSP</v>
          </cell>
          <cell r="I99" t="str">
            <v>Driver - Reg.</v>
          </cell>
          <cell r="J99">
            <v>0</v>
          </cell>
          <cell r="K99">
            <v>31440</v>
          </cell>
          <cell r="L99">
            <v>0</v>
          </cell>
          <cell r="M99">
            <v>21821</v>
          </cell>
          <cell r="N99">
            <v>0</v>
          </cell>
          <cell r="O99">
            <v>0</v>
          </cell>
          <cell r="P99">
            <v>42.23</v>
          </cell>
        </row>
        <row r="100">
          <cell r="B100">
            <v>21910</v>
          </cell>
          <cell r="C100" t="str">
            <v>0100060</v>
          </cell>
          <cell r="D100" t="str">
            <v>LUEHS, LOUIS M.</v>
          </cell>
          <cell r="E100" t="str">
            <v>DRDBOX</v>
          </cell>
          <cell r="F100" t="str">
            <v>Driver - Debris Box</v>
          </cell>
          <cell r="G100" t="str">
            <v>350G</v>
          </cell>
          <cell r="H100" t="str">
            <v>DSP</v>
          </cell>
          <cell r="I100" t="str">
            <v>Driver - Lead</v>
          </cell>
          <cell r="J100">
            <v>0</v>
          </cell>
          <cell r="K100">
            <v>31443</v>
          </cell>
          <cell r="L100">
            <v>0</v>
          </cell>
          <cell r="M100">
            <v>21910</v>
          </cell>
          <cell r="N100">
            <v>0</v>
          </cell>
          <cell r="O100">
            <v>0</v>
          </cell>
          <cell r="P100">
            <v>42.23</v>
          </cell>
        </row>
        <row r="101">
          <cell r="B101">
            <v>20837</v>
          </cell>
          <cell r="C101" t="str">
            <v>0100014</v>
          </cell>
          <cell r="D101" t="str">
            <v>KENILVORT, DANIEL</v>
          </cell>
          <cell r="E101" t="str">
            <v>FTSTC3</v>
          </cell>
          <cell r="F101" t="str">
            <v>Driver - Fantastic 3</v>
          </cell>
          <cell r="G101" t="str">
            <v>350G</v>
          </cell>
          <cell r="H101" t="str">
            <v>DSP</v>
          </cell>
          <cell r="I101" t="str">
            <v>Driver - Lead</v>
          </cell>
          <cell r="J101">
            <v>0</v>
          </cell>
          <cell r="K101">
            <v>31506</v>
          </cell>
          <cell r="L101">
            <v>0</v>
          </cell>
          <cell r="M101">
            <v>20837</v>
          </cell>
          <cell r="N101">
            <v>0</v>
          </cell>
          <cell r="O101">
            <v>0</v>
          </cell>
          <cell r="P101">
            <v>42.23</v>
          </cell>
        </row>
        <row r="102">
          <cell r="B102">
            <v>21039</v>
          </cell>
          <cell r="C102" t="str">
            <v>0100041</v>
          </cell>
          <cell r="D102" t="str">
            <v>COLOMBO, ROBERT J</v>
          </cell>
          <cell r="E102" t="str">
            <v>DRFTLR</v>
          </cell>
          <cell r="F102" t="str">
            <v>Driver - Frontloader</v>
          </cell>
          <cell r="G102" t="str">
            <v>350G</v>
          </cell>
          <cell r="H102" t="str">
            <v>DSP</v>
          </cell>
          <cell r="I102" t="str">
            <v>Driver - Lead</v>
          </cell>
          <cell r="J102">
            <v>0</v>
          </cell>
          <cell r="K102">
            <v>31614</v>
          </cell>
          <cell r="L102">
            <v>0</v>
          </cell>
          <cell r="M102">
            <v>21039</v>
          </cell>
          <cell r="N102">
            <v>0</v>
          </cell>
          <cell r="O102">
            <v>0</v>
          </cell>
          <cell r="P102">
            <v>42.23</v>
          </cell>
        </row>
        <row r="103">
          <cell r="B103">
            <v>22007</v>
          </cell>
          <cell r="C103" t="str">
            <v>0100014</v>
          </cell>
          <cell r="D103" t="str">
            <v>PADILLA JR, EFRAIN</v>
          </cell>
          <cell r="E103" t="str">
            <v>FTSTC3</v>
          </cell>
          <cell r="F103" t="str">
            <v>Driver - Fantastic 3</v>
          </cell>
          <cell r="G103" t="str">
            <v>350G</v>
          </cell>
          <cell r="H103" t="str">
            <v>DSP</v>
          </cell>
          <cell r="I103" t="str">
            <v>Driver - Lead</v>
          </cell>
          <cell r="J103">
            <v>0</v>
          </cell>
          <cell r="K103">
            <v>31629</v>
          </cell>
          <cell r="L103">
            <v>0</v>
          </cell>
          <cell r="M103">
            <v>22007</v>
          </cell>
          <cell r="N103">
            <v>0</v>
          </cell>
          <cell r="O103">
            <v>0</v>
          </cell>
          <cell r="P103">
            <v>42.23</v>
          </cell>
        </row>
        <row r="104">
          <cell r="B104">
            <v>21602</v>
          </cell>
          <cell r="C104" t="str">
            <v>0100010</v>
          </cell>
          <cell r="D104" t="str">
            <v>BROWN, DAVID V.</v>
          </cell>
          <cell r="E104" t="str">
            <v>DRIVER</v>
          </cell>
          <cell r="F104" t="str">
            <v>Driver</v>
          </cell>
          <cell r="G104" t="str">
            <v>350G</v>
          </cell>
          <cell r="H104" t="str">
            <v>DSP</v>
          </cell>
          <cell r="I104" t="str">
            <v>Driver - Reg.</v>
          </cell>
          <cell r="J104">
            <v>0</v>
          </cell>
          <cell r="K104">
            <v>31742</v>
          </cell>
          <cell r="L104">
            <v>0</v>
          </cell>
          <cell r="M104">
            <v>21602</v>
          </cell>
          <cell r="N104">
            <v>0</v>
          </cell>
          <cell r="O104">
            <v>0</v>
          </cell>
          <cell r="P104">
            <v>42.23</v>
          </cell>
        </row>
        <row r="105">
          <cell r="B105">
            <v>21493</v>
          </cell>
          <cell r="C105" t="str">
            <v>0100014</v>
          </cell>
          <cell r="D105" t="str">
            <v>AGAZZI JR, PAUL</v>
          </cell>
          <cell r="E105" t="str">
            <v>FTSTC3</v>
          </cell>
          <cell r="F105" t="str">
            <v>Driver - Fantastic 3</v>
          </cell>
          <cell r="G105" t="str">
            <v>350G</v>
          </cell>
          <cell r="H105" t="str">
            <v>DSP</v>
          </cell>
          <cell r="I105" t="str">
            <v>Driver - Lead</v>
          </cell>
          <cell r="J105">
            <v>0</v>
          </cell>
          <cell r="K105">
            <v>31747</v>
          </cell>
          <cell r="L105">
            <v>0</v>
          </cell>
          <cell r="M105">
            <v>21493</v>
          </cell>
          <cell r="N105">
            <v>0</v>
          </cell>
          <cell r="O105">
            <v>0</v>
          </cell>
          <cell r="P105">
            <v>42.23</v>
          </cell>
        </row>
        <row r="106">
          <cell r="B106">
            <v>21522</v>
          </cell>
          <cell r="C106" t="str">
            <v>0100014</v>
          </cell>
          <cell r="D106" t="str">
            <v>ALVAREZ, RICARDO</v>
          </cell>
          <cell r="E106" t="str">
            <v>FTSTC3</v>
          </cell>
          <cell r="F106" t="str">
            <v>Driver - Fantastic 3</v>
          </cell>
          <cell r="G106" t="str">
            <v>350G</v>
          </cell>
          <cell r="H106" t="str">
            <v>DSP</v>
          </cell>
          <cell r="I106" t="str">
            <v>Driver - Lead</v>
          </cell>
          <cell r="J106">
            <v>0</v>
          </cell>
          <cell r="K106">
            <v>31756</v>
          </cell>
          <cell r="L106">
            <v>0</v>
          </cell>
          <cell r="M106">
            <v>21522</v>
          </cell>
          <cell r="N106">
            <v>0</v>
          </cell>
          <cell r="O106">
            <v>0</v>
          </cell>
          <cell r="P106">
            <v>42.23</v>
          </cell>
        </row>
        <row r="107">
          <cell r="B107">
            <v>22058</v>
          </cell>
          <cell r="C107" t="str">
            <v>0100060</v>
          </cell>
          <cell r="D107" t="str">
            <v>RIVAS, ALFREDO S</v>
          </cell>
          <cell r="E107" t="str">
            <v>DRDBOX</v>
          </cell>
          <cell r="F107" t="str">
            <v>Driver - Debris Box</v>
          </cell>
          <cell r="G107" t="str">
            <v>350G</v>
          </cell>
          <cell r="H107" t="str">
            <v>DSP</v>
          </cell>
          <cell r="I107" t="str">
            <v>Driver - Lead</v>
          </cell>
          <cell r="J107">
            <v>0</v>
          </cell>
          <cell r="K107">
            <v>31761</v>
          </cell>
          <cell r="L107">
            <v>0</v>
          </cell>
          <cell r="M107">
            <v>22058</v>
          </cell>
          <cell r="N107">
            <v>0</v>
          </cell>
          <cell r="O107">
            <v>0</v>
          </cell>
          <cell r="P107">
            <v>42.23</v>
          </cell>
        </row>
        <row r="108">
          <cell r="B108">
            <v>21864</v>
          </cell>
          <cell r="C108" t="str">
            <v>0100060</v>
          </cell>
          <cell r="D108" t="str">
            <v>JACKSON III, LAWRENCE L.</v>
          </cell>
          <cell r="E108" t="str">
            <v>DRDBOX</v>
          </cell>
          <cell r="F108" t="str">
            <v>Driver - Debris Box</v>
          </cell>
          <cell r="G108" t="str">
            <v>350G</v>
          </cell>
          <cell r="H108" t="str">
            <v>DSP</v>
          </cell>
          <cell r="I108" t="str">
            <v>Driver - Lead</v>
          </cell>
          <cell r="J108">
            <v>0</v>
          </cell>
          <cell r="K108">
            <v>31853</v>
          </cell>
          <cell r="L108">
            <v>0</v>
          </cell>
          <cell r="M108">
            <v>21864</v>
          </cell>
          <cell r="N108">
            <v>0</v>
          </cell>
          <cell r="O108">
            <v>0</v>
          </cell>
          <cell r="P108">
            <v>42.23</v>
          </cell>
        </row>
        <row r="109">
          <cell r="B109">
            <v>21848</v>
          </cell>
          <cell r="C109" t="str">
            <v>0100014</v>
          </cell>
          <cell r="D109" t="str">
            <v>HERRERA, DANIEL P</v>
          </cell>
          <cell r="E109" t="str">
            <v>FTSTC3</v>
          </cell>
          <cell r="F109" t="str">
            <v>Driver - Fantastic 3</v>
          </cell>
          <cell r="G109" t="str">
            <v>350G</v>
          </cell>
          <cell r="H109" t="str">
            <v>DSP</v>
          </cell>
          <cell r="I109" t="str">
            <v>Driver - Lead</v>
          </cell>
          <cell r="J109">
            <v>0</v>
          </cell>
          <cell r="K109">
            <v>31873</v>
          </cell>
          <cell r="L109">
            <v>0</v>
          </cell>
          <cell r="M109">
            <v>21848</v>
          </cell>
          <cell r="N109">
            <v>0</v>
          </cell>
          <cell r="O109">
            <v>0</v>
          </cell>
          <cell r="P109">
            <v>42.23</v>
          </cell>
        </row>
        <row r="110">
          <cell r="B110">
            <v>22066</v>
          </cell>
          <cell r="C110" t="str">
            <v>0100014</v>
          </cell>
          <cell r="D110" t="str">
            <v>RODRIGUES SR, SAMUEL E.</v>
          </cell>
          <cell r="E110" t="str">
            <v>FTSTC3</v>
          </cell>
          <cell r="F110" t="str">
            <v>Driver - Fantastic 3</v>
          </cell>
          <cell r="G110" t="str">
            <v>350G</v>
          </cell>
          <cell r="H110" t="str">
            <v>DSP</v>
          </cell>
          <cell r="I110" t="str">
            <v>Driver - Lead</v>
          </cell>
          <cell r="J110">
            <v>0</v>
          </cell>
          <cell r="K110">
            <v>31873</v>
          </cell>
          <cell r="L110">
            <v>0</v>
          </cell>
          <cell r="M110">
            <v>22066</v>
          </cell>
          <cell r="N110">
            <v>0</v>
          </cell>
          <cell r="O110">
            <v>0</v>
          </cell>
          <cell r="P110">
            <v>42.23</v>
          </cell>
        </row>
        <row r="111">
          <cell r="B111">
            <v>21514</v>
          </cell>
          <cell r="C111" t="str">
            <v>0100014</v>
          </cell>
          <cell r="D111" t="str">
            <v>ALVAREZ, MARIO</v>
          </cell>
          <cell r="E111" t="str">
            <v>FTSTC3</v>
          </cell>
          <cell r="F111" t="str">
            <v>Driver - Fantastic 3</v>
          </cell>
          <cell r="G111" t="str">
            <v>350G</v>
          </cell>
          <cell r="H111" t="str">
            <v>DSP</v>
          </cell>
          <cell r="I111" t="str">
            <v>Driver - Lead</v>
          </cell>
          <cell r="J111">
            <v>0</v>
          </cell>
          <cell r="K111">
            <v>31908</v>
          </cell>
          <cell r="L111">
            <v>0</v>
          </cell>
          <cell r="M111">
            <v>21514</v>
          </cell>
          <cell r="N111">
            <v>0</v>
          </cell>
          <cell r="O111">
            <v>0</v>
          </cell>
          <cell r="P111">
            <v>42.23</v>
          </cell>
        </row>
        <row r="112">
          <cell r="B112">
            <v>22171</v>
          </cell>
          <cell r="C112" t="str">
            <v>0100041</v>
          </cell>
          <cell r="D112" t="str">
            <v>WILLIAMS, HENRY N.</v>
          </cell>
          <cell r="E112" t="str">
            <v>DRFTLR</v>
          </cell>
          <cell r="F112" t="str">
            <v>Driver - Frontloader</v>
          </cell>
          <cell r="G112" t="str">
            <v>350G</v>
          </cell>
          <cell r="H112" t="str">
            <v>DSP</v>
          </cell>
          <cell r="I112" t="str">
            <v>Driver - Lead</v>
          </cell>
          <cell r="J112">
            <v>0</v>
          </cell>
          <cell r="K112">
            <v>32161</v>
          </cell>
          <cell r="L112">
            <v>0</v>
          </cell>
          <cell r="M112">
            <v>22171</v>
          </cell>
          <cell r="N112">
            <v>0</v>
          </cell>
          <cell r="O112">
            <v>0</v>
          </cell>
          <cell r="P112">
            <v>42.23</v>
          </cell>
        </row>
        <row r="113">
          <cell r="B113">
            <v>22381</v>
          </cell>
          <cell r="C113" t="str">
            <v>0100060</v>
          </cell>
          <cell r="D113" t="str">
            <v>GONZALEZ, GAMALIEL</v>
          </cell>
          <cell r="E113" t="str">
            <v>DRDBOX</v>
          </cell>
          <cell r="F113" t="str">
            <v>Driver - Debris Box</v>
          </cell>
          <cell r="G113" t="str">
            <v>350G</v>
          </cell>
          <cell r="H113" t="str">
            <v>DSP</v>
          </cell>
          <cell r="I113" t="str">
            <v>Driver - Lead</v>
          </cell>
          <cell r="J113">
            <v>0</v>
          </cell>
          <cell r="K113">
            <v>32566</v>
          </cell>
          <cell r="L113">
            <v>0</v>
          </cell>
          <cell r="M113">
            <v>22381</v>
          </cell>
          <cell r="N113">
            <v>0</v>
          </cell>
          <cell r="O113">
            <v>0</v>
          </cell>
          <cell r="P113">
            <v>42.23</v>
          </cell>
        </row>
        <row r="114">
          <cell r="B114">
            <v>71896</v>
          </cell>
          <cell r="C114" t="str">
            <v>0100510</v>
          </cell>
          <cell r="D114" t="str">
            <v>FLOYD III, KENNETH</v>
          </cell>
          <cell r="E114" t="str">
            <v>AFORES</v>
          </cell>
          <cell r="F114" t="str">
            <v>Assistant Foreperson - Shop</v>
          </cell>
          <cell r="G114" t="str">
            <v>350G</v>
          </cell>
          <cell r="H114" t="str">
            <v>SHP</v>
          </cell>
          <cell r="I114" t="str">
            <v>350G</v>
          </cell>
          <cell r="J114">
            <v>0</v>
          </cell>
          <cell r="K114">
            <v>33168</v>
          </cell>
          <cell r="L114">
            <v>0</v>
          </cell>
          <cell r="M114">
            <v>71896</v>
          </cell>
          <cell r="N114">
            <v>0</v>
          </cell>
          <cell r="O114">
            <v>0</v>
          </cell>
          <cell r="P114">
            <v>43.918999999999997</v>
          </cell>
        </row>
        <row r="115">
          <cell r="B115">
            <v>85649</v>
          </cell>
          <cell r="C115" t="str">
            <v>0100110</v>
          </cell>
          <cell r="D115" t="str">
            <v>TORRES, JOSE R.</v>
          </cell>
          <cell r="E115" t="str">
            <v>DRCOM</v>
          </cell>
          <cell r="F115" t="str">
            <v>Driver - Commercial</v>
          </cell>
          <cell r="G115" t="str">
            <v>350G</v>
          </cell>
          <cell r="H115" t="str">
            <v>DSP</v>
          </cell>
          <cell r="I115" t="str">
            <v>Driver - Lead</v>
          </cell>
          <cell r="J115">
            <v>0</v>
          </cell>
          <cell r="K115">
            <v>34085</v>
          </cell>
          <cell r="L115">
            <v>0</v>
          </cell>
          <cell r="M115">
            <v>85649</v>
          </cell>
          <cell r="N115">
            <v>0</v>
          </cell>
          <cell r="O115">
            <v>0</v>
          </cell>
          <cell r="P115">
            <v>42.23</v>
          </cell>
        </row>
        <row r="116">
          <cell r="B116">
            <v>85673</v>
          </cell>
          <cell r="C116" t="str">
            <v>0100014</v>
          </cell>
          <cell r="D116" t="str">
            <v>CAMPOS, ERUBEL</v>
          </cell>
          <cell r="E116" t="str">
            <v>FTSTC3</v>
          </cell>
          <cell r="F116" t="str">
            <v>Driver - Fantastic 3</v>
          </cell>
          <cell r="G116" t="str">
            <v>350G</v>
          </cell>
          <cell r="H116" t="str">
            <v>DSP</v>
          </cell>
          <cell r="I116" t="str">
            <v>Driver - Lead</v>
          </cell>
          <cell r="J116">
            <v>0</v>
          </cell>
          <cell r="K116">
            <v>33689</v>
          </cell>
          <cell r="L116">
            <v>0</v>
          </cell>
          <cell r="M116">
            <v>85673</v>
          </cell>
          <cell r="N116">
            <v>0</v>
          </cell>
          <cell r="O116">
            <v>0</v>
          </cell>
          <cell r="P116">
            <v>42.23</v>
          </cell>
        </row>
        <row r="117">
          <cell r="B117">
            <v>85665</v>
          </cell>
          <cell r="C117" t="str">
            <v>0100110</v>
          </cell>
          <cell r="D117" t="str">
            <v>NAVARRO, DAVID</v>
          </cell>
          <cell r="E117" t="str">
            <v>DRCOM</v>
          </cell>
          <cell r="F117" t="str">
            <v>Driver - Commercial</v>
          </cell>
          <cell r="G117" t="str">
            <v>350G</v>
          </cell>
          <cell r="H117" t="str">
            <v>DSP</v>
          </cell>
          <cell r="I117" t="str">
            <v>Driver - Lead</v>
          </cell>
          <cell r="J117">
            <v>0</v>
          </cell>
          <cell r="K117">
            <v>34086</v>
          </cell>
          <cell r="L117">
            <v>0</v>
          </cell>
          <cell r="M117">
            <v>85665</v>
          </cell>
          <cell r="N117">
            <v>0</v>
          </cell>
          <cell r="O117">
            <v>0</v>
          </cell>
          <cell r="P117">
            <v>42.23</v>
          </cell>
        </row>
        <row r="118">
          <cell r="B118">
            <v>22349</v>
          </cell>
          <cell r="C118" t="str">
            <v>0100060</v>
          </cell>
          <cell r="D118" t="str">
            <v>DE MARTINI, JOSEPH</v>
          </cell>
          <cell r="E118" t="str">
            <v>DRDBOX</v>
          </cell>
          <cell r="F118" t="str">
            <v>Driver - Debris Box</v>
          </cell>
          <cell r="G118" t="str">
            <v>350G</v>
          </cell>
          <cell r="H118" t="str">
            <v>DSP</v>
          </cell>
          <cell r="I118" t="str">
            <v>Driver - Lead</v>
          </cell>
          <cell r="J118">
            <v>0</v>
          </cell>
          <cell r="K118">
            <v>34092</v>
          </cell>
          <cell r="L118">
            <v>0</v>
          </cell>
          <cell r="M118">
            <v>22349</v>
          </cell>
          <cell r="N118">
            <v>0</v>
          </cell>
          <cell r="O118">
            <v>0</v>
          </cell>
          <cell r="P118">
            <v>42.23</v>
          </cell>
        </row>
        <row r="119">
          <cell r="B119">
            <v>92427</v>
          </cell>
          <cell r="C119" t="str">
            <v>0100110</v>
          </cell>
          <cell r="D119" t="str">
            <v>BLUFORD, PHILLIP</v>
          </cell>
          <cell r="E119" t="str">
            <v>DRCOM</v>
          </cell>
          <cell r="F119" t="str">
            <v>Driver - Commercial</v>
          </cell>
          <cell r="G119" t="str">
            <v>350G</v>
          </cell>
          <cell r="H119" t="str">
            <v>DSP</v>
          </cell>
          <cell r="I119" t="str">
            <v>Driver - Lead</v>
          </cell>
          <cell r="J119">
            <v>0</v>
          </cell>
          <cell r="K119">
            <v>34775</v>
          </cell>
          <cell r="L119">
            <v>0</v>
          </cell>
          <cell r="M119">
            <v>92427</v>
          </cell>
          <cell r="N119">
            <v>0</v>
          </cell>
          <cell r="O119">
            <v>0</v>
          </cell>
          <cell r="P119">
            <v>42.23</v>
          </cell>
        </row>
        <row r="120">
          <cell r="B120">
            <v>93307</v>
          </cell>
          <cell r="C120" t="str">
            <v>0100011</v>
          </cell>
          <cell r="D120" t="str">
            <v>AONG, MICHAEL C</v>
          </cell>
          <cell r="E120" t="str">
            <v>DRIVER</v>
          </cell>
          <cell r="F120" t="str">
            <v>Driver</v>
          </cell>
          <cell r="G120" t="str">
            <v>350G</v>
          </cell>
          <cell r="H120" t="str">
            <v>DSP</v>
          </cell>
          <cell r="I120" t="str">
            <v>Driver - Reg.</v>
          </cell>
          <cell r="J120">
            <v>0</v>
          </cell>
          <cell r="K120">
            <v>34879</v>
          </cell>
          <cell r="L120">
            <v>0</v>
          </cell>
          <cell r="M120">
            <v>93307</v>
          </cell>
          <cell r="N120">
            <v>0</v>
          </cell>
          <cell r="O120">
            <v>0</v>
          </cell>
          <cell r="P120">
            <v>42.23</v>
          </cell>
        </row>
        <row r="121">
          <cell r="B121">
            <v>93737</v>
          </cell>
          <cell r="C121" t="str">
            <v>0100060</v>
          </cell>
          <cell r="D121" t="str">
            <v>HUDSON, SHANCHEZ</v>
          </cell>
          <cell r="E121" t="str">
            <v>DRDBOX</v>
          </cell>
          <cell r="F121" t="str">
            <v>Driver - Debris Box</v>
          </cell>
          <cell r="G121" t="str">
            <v>350G</v>
          </cell>
          <cell r="H121" t="str">
            <v>DSP</v>
          </cell>
          <cell r="I121" t="str">
            <v>Driver - Lead</v>
          </cell>
          <cell r="J121">
            <v>0</v>
          </cell>
          <cell r="K121">
            <v>34920</v>
          </cell>
          <cell r="L121">
            <v>0</v>
          </cell>
          <cell r="M121">
            <v>93737</v>
          </cell>
          <cell r="N121">
            <v>0</v>
          </cell>
          <cell r="O121">
            <v>0</v>
          </cell>
          <cell r="P121">
            <v>42.23</v>
          </cell>
        </row>
        <row r="122">
          <cell r="B122">
            <v>94051</v>
          </cell>
          <cell r="C122" t="str">
            <v>0100061</v>
          </cell>
          <cell r="D122" t="str">
            <v>ALVAREZ, RAUL M.</v>
          </cell>
          <cell r="E122" t="str">
            <v>MECH</v>
          </cell>
          <cell r="F122" t="str">
            <v>Mechanic</v>
          </cell>
          <cell r="G122" t="str">
            <v>350G</v>
          </cell>
          <cell r="H122" t="str">
            <v>SHP</v>
          </cell>
          <cell r="I122" t="str">
            <v>MECH</v>
          </cell>
          <cell r="J122">
            <v>0</v>
          </cell>
          <cell r="K122">
            <v>34967</v>
          </cell>
          <cell r="L122">
            <v>0</v>
          </cell>
          <cell r="M122">
            <v>94051</v>
          </cell>
          <cell r="N122">
            <v>0</v>
          </cell>
          <cell r="O122">
            <v>0</v>
          </cell>
          <cell r="P122">
            <v>43.26</v>
          </cell>
        </row>
        <row r="123">
          <cell r="B123">
            <v>21186</v>
          </cell>
          <cell r="C123" t="str">
            <v>0100014</v>
          </cell>
          <cell r="D123" t="str">
            <v>GONZALEZ, JUAN C</v>
          </cell>
          <cell r="E123" t="str">
            <v>FTSTC3</v>
          </cell>
          <cell r="F123" t="str">
            <v>Driver - Fantastic 3</v>
          </cell>
          <cell r="G123" t="str">
            <v>350G</v>
          </cell>
          <cell r="H123" t="str">
            <v>DSP</v>
          </cell>
          <cell r="I123" t="str">
            <v>Driver - Lead</v>
          </cell>
          <cell r="J123">
            <v>0</v>
          </cell>
          <cell r="K123">
            <v>29017</v>
          </cell>
          <cell r="L123">
            <v>0</v>
          </cell>
          <cell r="M123">
            <v>21186</v>
          </cell>
          <cell r="N123">
            <v>0</v>
          </cell>
          <cell r="O123">
            <v>0</v>
          </cell>
          <cell r="P123">
            <v>42.23</v>
          </cell>
        </row>
        <row r="124">
          <cell r="B124">
            <v>96461</v>
          </cell>
          <cell r="C124" t="str">
            <v>0100010</v>
          </cell>
          <cell r="D124" t="str">
            <v>SCIAMANNA, JOSEPH</v>
          </cell>
          <cell r="E124" t="str">
            <v>DRIVER</v>
          </cell>
          <cell r="F124" t="str">
            <v>Driver</v>
          </cell>
          <cell r="G124" t="str">
            <v>350G</v>
          </cell>
          <cell r="H124" t="str">
            <v>DSP</v>
          </cell>
          <cell r="I124" t="str">
            <v>Driver - Reg.</v>
          </cell>
          <cell r="J124">
            <v>0</v>
          </cell>
          <cell r="K124">
            <v>35156</v>
          </cell>
          <cell r="L124">
            <v>0</v>
          </cell>
          <cell r="M124">
            <v>96461</v>
          </cell>
          <cell r="N124">
            <v>0</v>
          </cell>
          <cell r="O124">
            <v>0</v>
          </cell>
          <cell r="P124">
            <v>42.23</v>
          </cell>
        </row>
        <row r="125">
          <cell r="B125">
            <v>21063</v>
          </cell>
          <cell r="C125" t="str">
            <v>0100041</v>
          </cell>
          <cell r="D125" t="str">
            <v>CUNEO, ROBERT J</v>
          </cell>
          <cell r="E125" t="str">
            <v>DRFTLR</v>
          </cell>
          <cell r="F125" t="str">
            <v>Driver - Frontloader</v>
          </cell>
          <cell r="G125" t="str">
            <v>350G</v>
          </cell>
          <cell r="H125" t="str">
            <v>DSP</v>
          </cell>
          <cell r="I125" t="str">
            <v>Driver - Lead</v>
          </cell>
          <cell r="J125">
            <v>0</v>
          </cell>
          <cell r="K125">
            <v>30119</v>
          </cell>
          <cell r="L125">
            <v>0</v>
          </cell>
          <cell r="M125">
            <v>21063</v>
          </cell>
          <cell r="N125">
            <v>0</v>
          </cell>
          <cell r="O125">
            <v>0</v>
          </cell>
          <cell r="P125">
            <v>42.23</v>
          </cell>
        </row>
        <row r="126">
          <cell r="B126">
            <v>97359</v>
          </cell>
          <cell r="C126" t="str">
            <v>0100010</v>
          </cell>
          <cell r="D126" t="str">
            <v>ARGUEL, RICHARD D.</v>
          </cell>
          <cell r="E126" t="str">
            <v>DRIVER</v>
          </cell>
          <cell r="F126" t="str">
            <v>Driver</v>
          </cell>
          <cell r="G126" t="str">
            <v>350G</v>
          </cell>
          <cell r="H126" t="str">
            <v>DSP</v>
          </cell>
          <cell r="I126" t="str">
            <v>Driver - Reg.</v>
          </cell>
          <cell r="J126">
            <v>0</v>
          </cell>
          <cell r="K126">
            <v>35226</v>
          </cell>
          <cell r="L126">
            <v>0</v>
          </cell>
          <cell r="M126">
            <v>97359</v>
          </cell>
          <cell r="N126">
            <v>0</v>
          </cell>
          <cell r="O126">
            <v>0</v>
          </cell>
          <cell r="P126">
            <v>42.23</v>
          </cell>
        </row>
        <row r="127">
          <cell r="B127">
            <v>97480</v>
          </cell>
          <cell r="C127" t="str">
            <v>0100510</v>
          </cell>
          <cell r="D127" t="str">
            <v>PEREZ, JORGE A.</v>
          </cell>
          <cell r="E127" t="str">
            <v>TGSHP</v>
          </cell>
          <cell r="F127" t="str">
            <v>Shop Person</v>
          </cell>
          <cell r="G127" t="str">
            <v>350G</v>
          </cell>
          <cell r="H127" t="str">
            <v>SHP</v>
          </cell>
          <cell r="I127" t="str">
            <v>350G</v>
          </cell>
          <cell r="J127">
            <v>0</v>
          </cell>
          <cell r="K127">
            <v>35235</v>
          </cell>
          <cell r="L127">
            <v>0</v>
          </cell>
          <cell r="M127">
            <v>97480</v>
          </cell>
          <cell r="N127">
            <v>0</v>
          </cell>
          <cell r="O127">
            <v>0</v>
          </cell>
          <cell r="P127">
            <v>40.540999999999997</v>
          </cell>
        </row>
        <row r="128">
          <cell r="B128">
            <v>22402</v>
          </cell>
          <cell r="C128" t="str">
            <v>0100060</v>
          </cell>
          <cell r="D128" t="str">
            <v>PON, GARY M</v>
          </cell>
          <cell r="E128" t="str">
            <v>DRDBOX</v>
          </cell>
          <cell r="F128" t="str">
            <v>Driver - Debris Box</v>
          </cell>
          <cell r="G128" t="str">
            <v>350G</v>
          </cell>
          <cell r="H128" t="str">
            <v>DSP</v>
          </cell>
          <cell r="I128" t="str">
            <v>Driver - Lead</v>
          </cell>
          <cell r="J128">
            <v>0</v>
          </cell>
          <cell r="K128">
            <v>32727</v>
          </cell>
          <cell r="L128">
            <v>0</v>
          </cell>
          <cell r="M128">
            <v>22402</v>
          </cell>
          <cell r="N128">
            <v>0</v>
          </cell>
          <cell r="O128">
            <v>0</v>
          </cell>
          <cell r="P128">
            <v>42.23</v>
          </cell>
        </row>
        <row r="129">
          <cell r="B129">
            <v>20992</v>
          </cell>
          <cell r="C129" t="str">
            <v>0100120</v>
          </cell>
          <cell r="D129" t="str">
            <v>BRIGGIN, STANLEY</v>
          </cell>
          <cell r="E129" t="str">
            <v>DRCOM</v>
          </cell>
          <cell r="F129" t="str">
            <v>Driver - Commercial</v>
          </cell>
          <cell r="G129" t="str">
            <v>350G</v>
          </cell>
          <cell r="H129" t="str">
            <v>DSP</v>
          </cell>
          <cell r="I129" t="str">
            <v>Driver - Lead</v>
          </cell>
          <cell r="J129">
            <v>0</v>
          </cell>
          <cell r="K129">
            <v>31376</v>
          </cell>
          <cell r="L129">
            <v>0</v>
          </cell>
          <cell r="M129">
            <v>20992</v>
          </cell>
          <cell r="N129">
            <v>0</v>
          </cell>
          <cell r="O129">
            <v>0</v>
          </cell>
          <cell r="P129">
            <v>42.23</v>
          </cell>
        </row>
        <row r="130">
          <cell r="B130">
            <v>101320</v>
          </cell>
          <cell r="C130" t="str">
            <v>0100014</v>
          </cell>
          <cell r="D130" t="str">
            <v>WILSON, LAMAR</v>
          </cell>
          <cell r="E130" t="str">
            <v>FTSTC3</v>
          </cell>
          <cell r="F130" t="str">
            <v>Driver - Fantastic 3</v>
          </cell>
          <cell r="G130" t="str">
            <v>350G</v>
          </cell>
          <cell r="H130" t="str">
            <v>DSP</v>
          </cell>
          <cell r="I130" t="str">
            <v>Driver - Lead</v>
          </cell>
          <cell r="J130">
            <v>0</v>
          </cell>
          <cell r="K130">
            <v>34877</v>
          </cell>
          <cell r="L130">
            <v>0</v>
          </cell>
          <cell r="M130">
            <v>101320</v>
          </cell>
          <cell r="N130">
            <v>0</v>
          </cell>
          <cell r="O130">
            <v>0</v>
          </cell>
          <cell r="P130">
            <v>42.23</v>
          </cell>
        </row>
        <row r="131">
          <cell r="B131">
            <v>101442</v>
          </cell>
          <cell r="C131" t="str">
            <v>0100011</v>
          </cell>
          <cell r="D131" t="str">
            <v>WONG, ALBERT</v>
          </cell>
          <cell r="E131" t="str">
            <v>DRIVER</v>
          </cell>
          <cell r="F131" t="str">
            <v>Driver</v>
          </cell>
          <cell r="G131" t="str">
            <v>350G</v>
          </cell>
          <cell r="H131" t="str">
            <v>DSP</v>
          </cell>
          <cell r="I131" t="str">
            <v>Driver - Reg.</v>
          </cell>
          <cell r="J131">
            <v>0</v>
          </cell>
          <cell r="K131">
            <v>35570</v>
          </cell>
          <cell r="L131">
            <v>0</v>
          </cell>
          <cell r="M131">
            <v>101442</v>
          </cell>
          <cell r="N131">
            <v>0</v>
          </cell>
          <cell r="O131">
            <v>0</v>
          </cell>
          <cell r="P131">
            <v>42.23</v>
          </cell>
        </row>
        <row r="132">
          <cell r="B132">
            <v>101944</v>
          </cell>
          <cell r="C132" t="str">
            <v>0100010</v>
          </cell>
          <cell r="D132" t="str">
            <v>FRANCO, ROBERTO WILLIAM</v>
          </cell>
          <cell r="E132" t="str">
            <v>HELPER</v>
          </cell>
          <cell r="F132" t="str">
            <v>Helper</v>
          </cell>
          <cell r="G132" t="str">
            <v>350G</v>
          </cell>
          <cell r="H132" t="str">
            <v>DSP</v>
          </cell>
          <cell r="I132" t="str">
            <v>Helper</v>
          </cell>
          <cell r="J132">
            <v>0</v>
          </cell>
          <cell r="K132">
            <v>35608</v>
          </cell>
          <cell r="L132">
            <v>0</v>
          </cell>
          <cell r="M132">
            <v>101944</v>
          </cell>
          <cell r="N132">
            <v>0</v>
          </cell>
          <cell r="O132">
            <v>0</v>
          </cell>
          <cell r="P132">
            <v>40.18</v>
          </cell>
        </row>
        <row r="133">
          <cell r="B133">
            <v>101936</v>
          </cell>
          <cell r="C133" t="str">
            <v>0100010</v>
          </cell>
          <cell r="D133" t="str">
            <v>PHU, HONG LUAN</v>
          </cell>
          <cell r="E133" t="str">
            <v>HELPER</v>
          </cell>
          <cell r="F133" t="str">
            <v>Helper</v>
          </cell>
          <cell r="G133" t="str">
            <v>350G</v>
          </cell>
          <cell r="H133" t="str">
            <v>DSP</v>
          </cell>
          <cell r="I133" t="str">
            <v>Helper</v>
          </cell>
          <cell r="J133">
            <v>0</v>
          </cell>
          <cell r="K133">
            <v>35611</v>
          </cell>
          <cell r="L133">
            <v>0</v>
          </cell>
          <cell r="M133">
            <v>101936</v>
          </cell>
          <cell r="N133">
            <v>0</v>
          </cell>
          <cell r="O133">
            <v>0</v>
          </cell>
          <cell r="P133">
            <v>40.18</v>
          </cell>
        </row>
        <row r="134">
          <cell r="B134">
            <v>339135</v>
          </cell>
          <cell r="C134" t="str">
            <v>0100014</v>
          </cell>
          <cell r="D134" t="str">
            <v>ZUNIGA, LUIS E.</v>
          </cell>
          <cell r="E134" t="str">
            <v>FTSTC3</v>
          </cell>
          <cell r="F134" t="str">
            <v>Driver - Fantastic 3</v>
          </cell>
          <cell r="G134" t="str">
            <v>350G</v>
          </cell>
          <cell r="H134" t="str">
            <v>DSP</v>
          </cell>
          <cell r="I134" t="str">
            <v>Driver - Lead</v>
          </cell>
          <cell r="J134">
            <v>0</v>
          </cell>
          <cell r="K134">
            <v>36012</v>
          </cell>
          <cell r="L134">
            <v>0</v>
          </cell>
          <cell r="M134">
            <v>339135</v>
          </cell>
          <cell r="N134">
            <v>0</v>
          </cell>
          <cell r="O134">
            <v>0</v>
          </cell>
          <cell r="P134">
            <v>42.23</v>
          </cell>
        </row>
        <row r="135">
          <cell r="B135">
            <v>344188</v>
          </cell>
          <cell r="C135" t="str">
            <v>0100010</v>
          </cell>
          <cell r="D135" t="str">
            <v>BELLI, PAUL D.</v>
          </cell>
          <cell r="E135" t="str">
            <v>HELPER</v>
          </cell>
          <cell r="F135" t="str">
            <v>Helper</v>
          </cell>
          <cell r="G135" t="str">
            <v>350G</v>
          </cell>
          <cell r="H135" t="str">
            <v>DSP</v>
          </cell>
          <cell r="I135" t="str">
            <v>Helper</v>
          </cell>
          <cell r="J135">
            <v>0</v>
          </cell>
          <cell r="K135">
            <v>36038</v>
          </cell>
          <cell r="L135">
            <v>0</v>
          </cell>
          <cell r="M135">
            <v>344188</v>
          </cell>
          <cell r="N135">
            <v>0</v>
          </cell>
          <cell r="O135">
            <v>0</v>
          </cell>
          <cell r="P135">
            <v>40.18</v>
          </cell>
        </row>
        <row r="136">
          <cell r="B136">
            <v>393182</v>
          </cell>
          <cell r="C136" t="str">
            <v>0100110</v>
          </cell>
          <cell r="D136" t="str">
            <v>VILLALOBOS, ROSENDO</v>
          </cell>
          <cell r="E136" t="str">
            <v>DRCOM</v>
          </cell>
          <cell r="F136" t="str">
            <v>Driver - Commercial</v>
          </cell>
          <cell r="G136" t="str">
            <v>350G</v>
          </cell>
          <cell r="H136" t="str">
            <v>DSP</v>
          </cell>
          <cell r="I136" t="str">
            <v>Driver - Lead</v>
          </cell>
          <cell r="J136">
            <v>0</v>
          </cell>
          <cell r="K136">
            <v>36220</v>
          </cell>
          <cell r="L136">
            <v>0</v>
          </cell>
          <cell r="M136">
            <v>393182</v>
          </cell>
          <cell r="N136">
            <v>0</v>
          </cell>
          <cell r="O136">
            <v>0</v>
          </cell>
          <cell r="P136">
            <v>42.23</v>
          </cell>
        </row>
        <row r="137">
          <cell r="B137">
            <v>404005</v>
          </cell>
          <cell r="C137" t="str">
            <v>0100011</v>
          </cell>
          <cell r="D137" t="str">
            <v>MEDEGHINI, MARK</v>
          </cell>
          <cell r="E137" t="str">
            <v>DRIVER</v>
          </cell>
          <cell r="F137" t="str">
            <v>Driver</v>
          </cell>
          <cell r="G137" t="str">
            <v>350G</v>
          </cell>
          <cell r="H137" t="str">
            <v>DSP</v>
          </cell>
          <cell r="I137" t="str">
            <v>Driver - Reg.</v>
          </cell>
          <cell r="J137">
            <v>0</v>
          </cell>
          <cell r="K137">
            <v>36269</v>
          </cell>
          <cell r="L137">
            <v>0</v>
          </cell>
          <cell r="M137">
            <v>404005</v>
          </cell>
          <cell r="N137">
            <v>0</v>
          </cell>
          <cell r="O137">
            <v>0</v>
          </cell>
          <cell r="P137">
            <v>42.23</v>
          </cell>
        </row>
        <row r="138">
          <cell r="B138">
            <v>417295</v>
          </cell>
          <cell r="C138" t="str">
            <v>0100014</v>
          </cell>
          <cell r="D138" t="str">
            <v>CLAUSEN, BRIAN F.</v>
          </cell>
          <cell r="E138" t="str">
            <v>HELPER</v>
          </cell>
          <cell r="F138" t="str">
            <v>Helper</v>
          </cell>
          <cell r="G138" t="str">
            <v>350G</v>
          </cell>
          <cell r="H138" t="str">
            <v>DSP</v>
          </cell>
          <cell r="I138" t="str">
            <v>Helper</v>
          </cell>
          <cell r="J138">
            <v>0</v>
          </cell>
          <cell r="K138">
            <v>36339</v>
          </cell>
          <cell r="L138">
            <v>0</v>
          </cell>
          <cell r="M138">
            <v>417295</v>
          </cell>
          <cell r="N138">
            <v>0</v>
          </cell>
          <cell r="O138">
            <v>0</v>
          </cell>
          <cell r="P138">
            <v>40.18</v>
          </cell>
        </row>
        <row r="139">
          <cell r="B139">
            <v>426829</v>
          </cell>
          <cell r="C139" t="str">
            <v>0100011</v>
          </cell>
          <cell r="D139" t="str">
            <v>MURRAY, MICHAEL P.</v>
          </cell>
          <cell r="E139" t="str">
            <v>DRIVER</v>
          </cell>
          <cell r="F139" t="str">
            <v>Driver</v>
          </cell>
          <cell r="G139" t="str">
            <v>350G</v>
          </cell>
          <cell r="H139" t="str">
            <v>DSP</v>
          </cell>
          <cell r="I139" t="str">
            <v>Driver - Reg.</v>
          </cell>
          <cell r="J139">
            <v>0</v>
          </cell>
          <cell r="K139">
            <v>36382</v>
          </cell>
          <cell r="L139">
            <v>0</v>
          </cell>
          <cell r="M139">
            <v>426829</v>
          </cell>
          <cell r="N139">
            <v>0</v>
          </cell>
          <cell r="O139">
            <v>0</v>
          </cell>
          <cell r="P139">
            <v>42.23</v>
          </cell>
        </row>
        <row r="140">
          <cell r="B140">
            <v>48469</v>
          </cell>
          <cell r="C140" t="str">
            <v>0100060</v>
          </cell>
          <cell r="D140" t="str">
            <v>SELF, RICHARD G.</v>
          </cell>
          <cell r="E140" t="str">
            <v>DRDBOX</v>
          </cell>
          <cell r="F140" t="str">
            <v>Driver - Debris Box</v>
          </cell>
          <cell r="G140" t="str">
            <v>350G</v>
          </cell>
          <cell r="H140" t="str">
            <v>DSP</v>
          </cell>
          <cell r="I140" t="str">
            <v>Driver - Lead</v>
          </cell>
          <cell r="J140">
            <v>0</v>
          </cell>
          <cell r="K140">
            <v>31101</v>
          </cell>
          <cell r="L140">
            <v>0</v>
          </cell>
          <cell r="M140">
            <v>48469</v>
          </cell>
          <cell r="N140">
            <v>0</v>
          </cell>
          <cell r="O140">
            <v>0</v>
          </cell>
          <cell r="P140">
            <v>42.23</v>
          </cell>
        </row>
        <row r="141">
          <cell r="B141">
            <v>94895</v>
          </cell>
          <cell r="C141" t="str">
            <v>0100060</v>
          </cell>
          <cell r="D141" t="str">
            <v>HUISMAN, ERIC</v>
          </cell>
          <cell r="E141" t="str">
            <v>DRDBOX</v>
          </cell>
          <cell r="F141" t="str">
            <v>Driver - Debris Box</v>
          </cell>
          <cell r="G141" t="str">
            <v>350G</v>
          </cell>
          <cell r="H141" t="str">
            <v>DSP</v>
          </cell>
          <cell r="I141" t="str">
            <v>Driver - Lead</v>
          </cell>
          <cell r="J141">
            <v>0</v>
          </cell>
          <cell r="K141">
            <v>35024</v>
          </cell>
          <cell r="L141">
            <v>0</v>
          </cell>
          <cell r="M141">
            <v>94895</v>
          </cell>
          <cell r="N141">
            <v>0</v>
          </cell>
          <cell r="O141">
            <v>0</v>
          </cell>
          <cell r="P141">
            <v>42.23</v>
          </cell>
        </row>
        <row r="142">
          <cell r="B142">
            <v>100853</v>
          </cell>
          <cell r="C142" t="str">
            <v>0100014</v>
          </cell>
          <cell r="D142" t="str">
            <v>GHIGLIERI, MICHAEL L.</v>
          </cell>
          <cell r="E142" t="str">
            <v>HELPER</v>
          </cell>
          <cell r="F142" t="str">
            <v>Helper</v>
          </cell>
          <cell r="G142" t="str">
            <v>350G</v>
          </cell>
          <cell r="H142" t="str">
            <v>DSP</v>
          </cell>
          <cell r="I142" t="str">
            <v>Helper</v>
          </cell>
          <cell r="J142">
            <v>0</v>
          </cell>
          <cell r="K142">
            <v>35536</v>
          </cell>
          <cell r="L142">
            <v>0</v>
          </cell>
          <cell r="M142">
            <v>100853</v>
          </cell>
          <cell r="N142">
            <v>0</v>
          </cell>
          <cell r="O142">
            <v>0</v>
          </cell>
          <cell r="P142">
            <v>40.18</v>
          </cell>
        </row>
        <row r="143">
          <cell r="B143">
            <v>304514</v>
          </cell>
          <cell r="C143" t="str">
            <v>0100010</v>
          </cell>
          <cell r="D143" t="str">
            <v>FARIAS, JAIME</v>
          </cell>
          <cell r="E143" t="str">
            <v>HELPER</v>
          </cell>
          <cell r="F143" t="str">
            <v>Helper</v>
          </cell>
          <cell r="G143" t="str">
            <v>350G</v>
          </cell>
          <cell r="H143" t="str">
            <v>DSP</v>
          </cell>
          <cell r="I143" t="str">
            <v>Helper</v>
          </cell>
          <cell r="J143">
            <v>0</v>
          </cell>
          <cell r="K143">
            <v>35843</v>
          </cell>
          <cell r="L143">
            <v>0</v>
          </cell>
          <cell r="M143">
            <v>304514</v>
          </cell>
          <cell r="N143">
            <v>0</v>
          </cell>
          <cell r="O143">
            <v>0</v>
          </cell>
          <cell r="P143">
            <v>40.18</v>
          </cell>
        </row>
        <row r="144">
          <cell r="B144">
            <v>319071</v>
          </cell>
          <cell r="C144" t="str">
            <v>0100110</v>
          </cell>
          <cell r="D144" t="str">
            <v>CRUZ, JORGE A.</v>
          </cell>
          <cell r="E144" t="str">
            <v>DRFTLR</v>
          </cell>
          <cell r="F144" t="str">
            <v>Driver - Frontloader</v>
          </cell>
          <cell r="G144" t="str">
            <v>350G</v>
          </cell>
          <cell r="H144" t="str">
            <v>DSP</v>
          </cell>
          <cell r="I144" t="str">
            <v>Driver - Lead</v>
          </cell>
          <cell r="J144">
            <v>0</v>
          </cell>
          <cell r="K144">
            <v>35904</v>
          </cell>
          <cell r="L144">
            <v>0</v>
          </cell>
          <cell r="M144">
            <v>319071</v>
          </cell>
          <cell r="N144">
            <v>0</v>
          </cell>
          <cell r="O144">
            <v>0</v>
          </cell>
          <cell r="P144">
            <v>42.23</v>
          </cell>
        </row>
        <row r="145">
          <cell r="B145">
            <v>323168</v>
          </cell>
          <cell r="C145" t="str">
            <v>0100110</v>
          </cell>
          <cell r="D145" t="str">
            <v>GONZALEZ, JAIME M.</v>
          </cell>
          <cell r="E145" t="str">
            <v>DRCOM</v>
          </cell>
          <cell r="F145" t="str">
            <v>Driver - Commercial</v>
          </cell>
          <cell r="G145" t="str">
            <v>350G</v>
          </cell>
          <cell r="H145" t="str">
            <v>DSP</v>
          </cell>
          <cell r="I145" t="str">
            <v>Driver - Lead</v>
          </cell>
          <cell r="J145">
            <v>0</v>
          </cell>
          <cell r="K145">
            <v>35928</v>
          </cell>
          <cell r="L145">
            <v>0</v>
          </cell>
          <cell r="M145">
            <v>323168</v>
          </cell>
          <cell r="N145">
            <v>0</v>
          </cell>
          <cell r="O145">
            <v>0</v>
          </cell>
          <cell r="P145">
            <v>42.23</v>
          </cell>
        </row>
        <row r="146">
          <cell r="B146">
            <v>326289</v>
          </cell>
          <cell r="C146" t="str">
            <v>0100014</v>
          </cell>
          <cell r="D146" t="str">
            <v>GARRETT, KENNETH A.</v>
          </cell>
          <cell r="E146" t="str">
            <v>HELPER</v>
          </cell>
          <cell r="F146" t="str">
            <v>Helper</v>
          </cell>
          <cell r="G146" t="str">
            <v>350G</v>
          </cell>
          <cell r="H146" t="str">
            <v>DSP</v>
          </cell>
          <cell r="I146" t="str">
            <v>Helper</v>
          </cell>
          <cell r="J146">
            <v>0</v>
          </cell>
          <cell r="K146">
            <v>35948</v>
          </cell>
          <cell r="L146">
            <v>0</v>
          </cell>
          <cell r="M146">
            <v>326289</v>
          </cell>
          <cell r="N146">
            <v>0</v>
          </cell>
          <cell r="O146">
            <v>0</v>
          </cell>
          <cell r="P146">
            <v>40.18</v>
          </cell>
        </row>
        <row r="147">
          <cell r="B147">
            <v>441092</v>
          </cell>
          <cell r="C147" t="str">
            <v>0100110</v>
          </cell>
          <cell r="D147" t="str">
            <v>MENDOZA, JESUS M.</v>
          </cell>
          <cell r="E147" t="str">
            <v>DRCOM</v>
          </cell>
          <cell r="F147" t="str">
            <v>Driver - Commercial</v>
          </cell>
          <cell r="G147" t="str">
            <v>350G</v>
          </cell>
          <cell r="H147" t="str">
            <v>DSP</v>
          </cell>
          <cell r="I147" t="str">
            <v>Driver - Lead</v>
          </cell>
          <cell r="J147">
            <v>0</v>
          </cell>
          <cell r="K147">
            <v>36430</v>
          </cell>
          <cell r="L147">
            <v>0</v>
          </cell>
          <cell r="M147">
            <v>441092</v>
          </cell>
          <cell r="N147">
            <v>0</v>
          </cell>
          <cell r="O147">
            <v>0</v>
          </cell>
          <cell r="P147">
            <v>42.23</v>
          </cell>
        </row>
        <row r="148">
          <cell r="B148">
            <v>482281</v>
          </cell>
          <cell r="C148" t="str">
            <v>0100110</v>
          </cell>
          <cell r="D148" t="str">
            <v>BOLTON, ANDRE L.</v>
          </cell>
          <cell r="E148" t="str">
            <v>DRCOM</v>
          </cell>
          <cell r="F148" t="str">
            <v>Driver - Commercial</v>
          </cell>
          <cell r="G148" t="str">
            <v>350G</v>
          </cell>
          <cell r="H148" t="str">
            <v>DSP</v>
          </cell>
          <cell r="I148" t="str">
            <v>Driver - Lead</v>
          </cell>
          <cell r="J148">
            <v>0</v>
          </cell>
          <cell r="K148">
            <v>36579</v>
          </cell>
          <cell r="L148">
            <v>0</v>
          </cell>
          <cell r="M148">
            <v>482281</v>
          </cell>
          <cell r="N148">
            <v>0</v>
          </cell>
          <cell r="O148">
            <v>0</v>
          </cell>
          <cell r="P148">
            <v>42.23</v>
          </cell>
        </row>
        <row r="149">
          <cell r="B149">
            <v>490038</v>
          </cell>
          <cell r="C149" t="str">
            <v>0100014</v>
          </cell>
          <cell r="D149" t="str">
            <v>BODAS, PHILLIP</v>
          </cell>
          <cell r="E149" t="str">
            <v>FTSTC3</v>
          </cell>
          <cell r="F149" t="str">
            <v>Driver - Fantastic 3</v>
          </cell>
          <cell r="G149" t="str">
            <v>350G</v>
          </cell>
          <cell r="H149" t="str">
            <v>DSP</v>
          </cell>
          <cell r="I149" t="str">
            <v>Driver - Lead</v>
          </cell>
          <cell r="J149">
            <v>0</v>
          </cell>
          <cell r="K149">
            <v>36617</v>
          </cell>
          <cell r="L149">
            <v>0</v>
          </cell>
          <cell r="M149">
            <v>490038</v>
          </cell>
          <cell r="N149">
            <v>0</v>
          </cell>
          <cell r="O149">
            <v>0</v>
          </cell>
          <cell r="P149">
            <v>42.23</v>
          </cell>
        </row>
        <row r="150">
          <cell r="B150">
            <v>496405</v>
          </cell>
          <cell r="C150" t="str">
            <v>0100120</v>
          </cell>
          <cell r="D150" t="str">
            <v>ENRIQUEZ, ISRAEL</v>
          </cell>
          <cell r="E150" t="str">
            <v>DRFTLR</v>
          </cell>
          <cell r="F150" t="str">
            <v>Driver - Frontloader</v>
          </cell>
          <cell r="G150" t="str">
            <v>350G</v>
          </cell>
          <cell r="H150" t="str">
            <v>DSP</v>
          </cell>
          <cell r="I150" t="str">
            <v>Driver - Lead</v>
          </cell>
          <cell r="J150">
            <v>0</v>
          </cell>
          <cell r="K150">
            <v>36633</v>
          </cell>
          <cell r="L150">
            <v>0</v>
          </cell>
          <cell r="M150">
            <v>496405</v>
          </cell>
          <cell r="N150">
            <v>0</v>
          </cell>
          <cell r="O150">
            <v>0</v>
          </cell>
          <cell r="P150">
            <v>42.23</v>
          </cell>
        </row>
        <row r="151">
          <cell r="B151">
            <v>497598</v>
          </cell>
          <cell r="C151" t="str">
            <v>0100014</v>
          </cell>
          <cell r="D151" t="str">
            <v>HICKS, TONY</v>
          </cell>
          <cell r="E151" t="str">
            <v>HELPER</v>
          </cell>
          <cell r="F151" t="str">
            <v>Helper</v>
          </cell>
          <cell r="G151" t="str">
            <v>350G</v>
          </cell>
          <cell r="H151" t="str">
            <v>DSP</v>
          </cell>
          <cell r="I151" t="str">
            <v>Helper</v>
          </cell>
          <cell r="J151">
            <v>0</v>
          </cell>
          <cell r="K151">
            <v>36640</v>
          </cell>
          <cell r="L151">
            <v>0</v>
          </cell>
          <cell r="M151">
            <v>497598</v>
          </cell>
          <cell r="N151">
            <v>0</v>
          </cell>
          <cell r="O151">
            <v>0</v>
          </cell>
          <cell r="P151">
            <v>40.18</v>
          </cell>
        </row>
        <row r="152">
          <cell r="B152">
            <v>500734</v>
          </cell>
          <cell r="C152" t="str">
            <v>0100014</v>
          </cell>
          <cell r="D152" t="str">
            <v>VELAZQUEZ, EFREN</v>
          </cell>
          <cell r="E152" t="str">
            <v>FTSTC3</v>
          </cell>
          <cell r="F152" t="str">
            <v>Driver - Fantastic 3</v>
          </cell>
          <cell r="G152" t="str">
            <v>350G</v>
          </cell>
          <cell r="H152" t="str">
            <v>DSP</v>
          </cell>
          <cell r="I152" t="str">
            <v>Driver - Lead</v>
          </cell>
          <cell r="J152">
            <v>0</v>
          </cell>
          <cell r="K152">
            <v>36647</v>
          </cell>
          <cell r="L152">
            <v>0</v>
          </cell>
          <cell r="M152">
            <v>500734</v>
          </cell>
          <cell r="N152">
            <v>0</v>
          </cell>
          <cell r="O152">
            <v>0</v>
          </cell>
          <cell r="P152">
            <v>42.23</v>
          </cell>
        </row>
        <row r="153">
          <cell r="B153">
            <v>501631</v>
          </cell>
          <cell r="C153" t="str">
            <v>0100120</v>
          </cell>
          <cell r="D153" t="str">
            <v>RODRIGUEZ, ANTONIO E.</v>
          </cell>
          <cell r="E153" t="str">
            <v>DRCOM</v>
          </cell>
          <cell r="F153" t="str">
            <v>Driver - Commercial</v>
          </cell>
          <cell r="G153" t="str">
            <v>350G</v>
          </cell>
          <cell r="H153" t="str">
            <v>DSP</v>
          </cell>
          <cell r="I153" t="str">
            <v>Driver - Lead</v>
          </cell>
          <cell r="J153">
            <v>0</v>
          </cell>
          <cell r="K153">
            <v>36654</v>
          </cell>
          <cell r="L153">
            <v>0</v>
          </cell>
          <cell r="M153">
            <v>501631</v>
          </cell>
          <cell r="N153">
            <v>0</v>
          </cell>
          <cell r="O153">
            <v>0</v>
          </cell>
          <cell r="P153">
            <v>42.23</v>
          </cell>
        </row>
        <row r="154">
          <cell r="B154">
            <v>97914</v>
          </cell>
          <cell r="C154" t="str">
            <v>0100010</v>
          </cell>
          <cell r="D154" t="str">
            <v>GALDAMEZ, DAVID</v>
          </cell>
          <cell r="E154" t="str">
            <v>HELPER</v>
          </cell>
          <cell r="F154" t="str">
            <v>Helper</v>
          </cell>
          <cell r="G154" t="str">
            <v>350G</v>
          </cell>
          <cell r="H154" t="str">
            <v>DSP</v>
          </cell>
          <cell r="I154" t="str">
            <v>Helper</v>
          </cell>
          <cell r="J154">
            <v>0</v>
          </cell>
          <cell r="K154">
            <v>35268</v>
          </cell>
          <cell r="L154">
            <v>0</v>
          </cell>
          <cell r="M154">
            <v>97914</v>
          </cell>
          <cell r="N154">
            <v>0</v>
          </cell>
          <cell r="O154">
            <v>0</v>
          </cell>
          <cell r="P154">
            <v>40.18</v>
          </cell>
        </row>
        <row r="155">
          <cell r="B155">
            <v>509923</v>
          </cell>
          <cell r="C155" t="str">
            <v>0100014</v>
          </cell>
          <cell r="D155" t="str">
            <v>CHETCUTI, MICHAEL</v>
          </cell>
          <cell r="E155" t="str">
            <v>FTSTC3</v>
          </cell>
          <cell r="F155" t="str">
            <v>Driver - Fantastic 3</v>
          </cell>
          <cell r="G155" t="str">
            <v>350G</v>
          </cell>
          <cell r="H155" t="str">
            <v>DSP</v>
          </cell>
          <cell r="I155" t="str">
            <v>Driver - Lead</v>
          </cell>
          <cell r="J155">
            <v>0</v>
          </cell>
          <cell r="K155">
            <v>36693</v>
          </cell>
          <cell r="L155">
            <v>0</v>
          </cell>
          <cell r="M155">
            <v>509923</v>
          </cell>
          <cell r="N155">
            <v>0</v>
          </cell>
          <cell r="O155">
            <v>0</v>
          </cell>
          <cell r="P155">
            <v>42.23</v>
          </cell>
        </row>
        <row r="156">
          <cell r="B156">
            <v>42761</v>
          </cell>
          <cell r="C156" t="str">
            <v>0100014</v>
          </cell>
          <cell r="D156" t="str">
            <v>NUILA, JOSE V</v>
          </cell>
          <cell r="E156" t="str">
            <v>FTSTC3</v>
          </cell>
          <cell r="F156" t="str">
            <v>Driver - Fantastic 3</v>
          </cell>
          <cell r="G156" t="str">
            <v>350G</v>
          </cell>
          <cell r="H156" t="str">
            <v>DSP</v>
          </cell>
          <cell r="I156" t="str">
            <v>Driver - Lead</v>
          </cell>
          <cell r="J156">
            <v>0</v>
          </cell>
          <cell r="K156">
            <v>31254</v>
          </cell>
          <cell r="L156">
            <v>0</v>
          </cell>
          <cell r="M156">
            <v>42761</v>
          </cell>
          <cell r="N156">
            <v>0</v>
          </cell>
          <cell r="O156">
            <v>0</v>
          </cell>
          <cell r="P156">
            <v>42.23</v>
          </cell>
        </row>
        <row r="157">
          <cell r="B157">
            <v>350713</v>
          </cell>
          <cell r="C157" t="str">
            <v>0100300</v>
          </cell>
          <cell r="D157" t="str">
            <v>MIRONOFF, MICHAEL G.</v>
          </cell>
          <cell r="E157" t="str">
            <v>DRFTLR</v>
          </cell>
          <cell r="F157" t="str">
            <v>Driver - Frontloader</v>
          </cell>
          <cell r="G157" t="str">
            <v>350G</v>
          </cell>
          <cell r="H157" t="str">
            <v>DSP</v>
          </cell>
          <cell r="I157" t="str">
            <v>Driver - Lead</v>
          </cell>
          <cell r="J157">
            <v>0</v>
          </cell>
          <cell r="K157">
            <v>36084</v>
          </cell>
          <cell r="L157">
            <v>0</v>
          </cell>
          <cell r="M157">
            <v>350713</v>
          </cell>
          <cell r="N157">
            <v>0</v>
          </cell>
          <cell r="O157">
            <v>0</v>
          </cell>
          <cell r="P157">
            <v>42.23</v>
          </cell>
        </row>
        <row r="158">
          <cell r="B158">
            <v>372630</v>
          </cell>
          <cell r="C158" t="str">
            <v>0100014</v>
          </cell>
          <cell r="D158" t="str">
            <v>MASON, WILLIAM J.</v>
          </cell>
          <cell r="E158" t="str">
            <v>HELPER</v>
          </cell>
          <cell r="F158" t="str">
            <v>Helper</v>
          </cell>
          <cell r="G158" t="str">
            <v>350G</v>
          </cell>
          <cell r="H158" t="str">
            <v>DSP</v>
          </cell>
          <cell r="I158" t="str">
            <v>Helper</v>
          </cell>
          <cell r="J158">
            <v>0</v>
          </cell>
          <cell r="K158">
            <v>36165</v>
          </cell>
          <cell r="L158">
            <v>0</v>
          </cell>
          <cell r="M158">
            <v>372630</v>
          </cell>
          <cell r="N158">
            <v>0</v>
          </cell>
          <cell r="O158">
            <v>0</v>
          </cell>
          <cell r="P158">
            <v>40.18</v>
          </cell>
        </row>
        <row r="159">
          <cell r="B159">
            <v>34657</v>
          </cell>
          <cell r="C159" t="str">
            <v>0100014</v>
          </cell>
          <cell r="D159" t="str">
            <v>ROMERO, ALFONSO</v>
          </cell>
          <cell r="E159" t="str">
            <v>HELPER</v>
          </cell>
          <cell r="F159" t="str">
            <v>Helper</v>
          </cell>
          <cell r="G159" t="str">
            <v>350G</v>
          </cell>
          <cell r="H159" t="str">
            <v>DSP</v>
          </cell>
          <cell r="I159" t="str">
            <v>Helper</v>
          </cell>
          <cell r="J159">
            <v>0</v>
          </cell>
          <cell r="K159">
            <v>36731</v>
          </cell>
          <cell r="L159">
            <v>0</v>
          </cell>
          <cell r="M159">
            <v>34657</v>
          </cell>
          <cell r="N159">
            <v>0</v>
          </cell>
          <cell r="O159" t="str">
            <v>Pay Start Date</v>
          </cell>
          <cell r="P159">
            <v>40.18</v>
          </cell>
        </row>
        <row r="160">
          <cell r="B160">
            <v>519363</v>
          </cell>
          <cell r="C160" t="str">
            <v>0100010</v>
          </cell>
          <cell r="D160" t="str">
            <v>SANCHEZ, ANTHONY R.</v>
          </cell>
          <cell r="E160" t="str">
            <v>HELPER</v>
          </cell>
          <cell r="F160" t="str">
            <v>Helper</v>
          </cell>
          <cell r="G160" t="str">
            <v>350G</v>
          </cell>
          <cell r="H160" t="str">
            <v>DSP</v>
          </cell>
          <cell r="I160" t="str">
            <v>Helper</v>
          </cell>
          <cell r="J160">
            <v>0</v>
          </cell>
          <cell r="K160">
            <v>36745</v>
          </cell>
          <cell r="L160">
            <v>0</v>
          </cell>
          <cell r="M160">
            <v>519363</v>
          </cell>
          <cell r="N160">
            <v>0</v>
          </cell>
          <cell r="O160">
            <v>0</v>
          </cell>
          <cell r="P160">
            <v>40.18</v>
          </cell>
        </row>
        <row r="161">
          <cell r="B161">
            <v>21101</v>
          </cell>
          <cell r="C161" t="str">
            <v>0100060</v>
          </cell>
          <cell r="D161" t="str">
            <v>FAZIO, STEVE</v>
          </cell>
          <cell r="E161" t="str">
            <v>DRDBOX</v>
          </cell>
          <cell r="F161" t="str">
            <v>Driver - Debris Box</v>
          </cell>
          <cell r="G161" t="str">
            <v>350G</v>
          </cell>
          <cell r="H161" t="str">
            <v>DSP</v>
          </cell>
          <cell r="I161" t="str">
            <v>Driver - Lead</v>
          </cell>
          <cell r="J161">
            <v>0</v>
          </cell>
          <cell r="K161">
            <v>36753</v>
          </cell>
          <cell r="L161">
            <v>0</v>
          </cell>
          <cell r="M161">
            <v>21101</v>
          </cell>
          <cell r="N161">
            <v>0</v>
          </cell>
          <cell r="O161" t="str">
            <v>Pay Start Date</v>
          </cell>
          <cell r="P161">
            <v>42.23</v>
          </cell>
        </row>
        <row r="162">
          <cell r="B162">
            <v>523661</v>
          </cell>
          <cell r="C162" t="str">
            <v>0100510</v>
          </cell>
          <cell r="D162" t="str">
            <v>CURTIS, WALTER C.</v>
          </cell>
          <cell r="E162" t="str">
            <v>TGSHP</v>
          </cell>
          <cell r="F162" t="str">
            <v>Shop Person</v>
          </cell>
          <cell r="G162" t="str">
            <v>350G</v>
          </cell>
          <cell r="H162" t="str">
            <v>SHP</v>
          </cell>
          <cell r="I162" t="str">
            <v>350G</v>
          </cell>
          <cell r="J162">
            <v>0</v>
          </cell>
          <cell r="K162">
            <v>36760</v>
          </cell>
          <cell r="L162">
            <v>0</v>
          </cell>
          <cell r="M162">
            <v>523661</v>
          </cell>
          <cell r="N162">
            <v>0</v>
          </cell>
          <cell r="O162">
            <v>0</v>
          </cell>
          <cell r="P162">
            <v>40.540999999999997</v>
          </cell>
        </row>
        <row r="163">
          <cell r="B163">
            <v>534580</v>
          </cell>
          <cell r="C163" t="str">
            <v>0100110</v>
          </cell>
          <cell r="D163" t="str">
            <v>SAAVEDRA, SABINO</v>
          </cell>
          <cell r="E163" t="str">
            <v>DRCOM</v>
          </cell>
          <cell r="F163" t="str">
            <v>Driver - Commercial</v>
          </cell>
          <cell r="G163" t="str">
            <v>350G</v>
          </cell>
          <cell r="H163" t="str">
            <v>DSP</v>
          </cell>
          <cell r="I163" t="str">
            <v>Driver - Lead</v>
          </cell>
          <cell r="J163">
            <v>0</v>
          </cell>
          <cell r="K163">
            <v>36789</v>
          </cell>
          <cell r="L163">
            <v>0</v>
          </cell>
          <cell r="M163">
            <v>534580</v>
          </cell>
          <cell r="N163">
            <v>0</v>
          </cell>
          <cell r="O163">
            <v>0</v>
          </cell>
          <cell r="P163">
            <v>42.23</v>
          </cell>
        </row>
        <row r="164">
          <cell r="B164">
            <v>537490</v>
          </cell>
          <cell r="C164" t="str">
            <v>0100010</v>
          </cell>
          <cell r="D164" t="str">
            <v>DUENAS, MARTIN</v>
          </cell>
          <cell r="E164" t="str">
            <v>HELPER</v>
          </cell>
          <cell r="F164" t="str">
            <v>Helper</v>
          </cell>
          <cell r="G164" t="str">
            <v>350G</v>
          </cell>
          <cell r="H164" t="str">
            <v>DSP</v>
          </cell>
          <cell r="I164" t="str">
            <v>Helper</v>
          </cell>
          <cell r="J164">
            <v>0</v>
          </cell>
          <cell r="K164">
            <v>36809</v>
          </cell>
          <cell r="L164">
            <v>0</v>
          </cell>
          <cell r="M164">
            <v>537490</v>
          </cell>
          <cell r="N164">
            <v>0</v>
          </cell>
          <cell r="O164">
            <v>0</v>
          </cell>
          <cell r="P164">
            <v>40.18</v>
          </cell>
        </row>
        <row r="165">
          <cell r="B165">
            <v>543224</v>
          </cell>
          <cell r="C165" t="str">
            <v>0100010</v>
          </cell>
          <cell r="D165" t="str">
            <v>HANSEN, ROBERT S.</v>
          </cell>
          <cell r="E165" t="str">
            <v>HELPER</v>
          </cell>
          <cell r="F165" t="str">
            <v>Helper</v>
          </cell>
          <cell r="G165" t="str">
            <v>350G</v>
          </cell>
          <cell r="H165" t="str">
            <v>DSP</v>
          </cell>
          <cell r="I165" t="str">
            <v>Helper</v>
          </cell>
          <cell r="J165">
            <v>0</v>
          </cell>
          <cell r="K165">
            <v>36823</v>
          </cell>
          <cell r="L165">
            <v>0</v>
          </cell>
          <cell r="M165">
            <v>543224</v>
          </cell>
          <cell r="N165">
            <v>0</v>
          </cell>
          <cell r="O165">
            <v>0</v>
          </cell>
          <cell r="P165">
            <v>40.18</v>
          </cell>
        </row>
        <row r="166">
          <cell r="B166">
            <v>559550</v>
          </cell>
          <cell r="C166" t="str">
            <v>0100014</v>
          </cell>
          <cell r="D166" t="str">
            <v>GEORGE, JOHNICON</v>
          </cell>
          <cell r="E166" t="str">
            <v>FTSTC3</v>
          </cell>
          <cell r="F166" t="str">
            <v>Driver - Fantastic 3</v>
          </cell>
          <cell r="G166" t="str">
            <v>350G</v>
          </cell>
          <cell r="H166" t="str">
            <v>DSP</v>
          </cell>
          <cell r="I166" t="str">
            <v>Driver - Lead</v>
          </cell>
          <cell r="J166">
            <v>0</v>
          </cell>
          <cell r="K166">
            <v>36893</v>
          </cell>
          <cell r="L166">
            <v>0</v>
          </cell>
          <cell r="M166">
            <v>559550</v>
          </cell>
          <cell r="N166">
            <v>0</v>
          </cell>
          <cell r="O166">
            <v>0</v>
          </cell>
          <cell r="P166">
            <v>42.23</v>
          </cell>
        </row>
        <row r="167">
          <cell r="B167">
            <v>565423</v>
          </cell>
          <cell r="C167" t="str">
            <v>0100010</v>
          </cell>
          <cell r="D167" t="str">
            <v>SAMPSON, KWASI</v>
          </cell>
          <cell r="E167" t="str">
            <v>HELPER</v>
          </cell>
          <cell r="F167" t="str">
            <v>Helper</v>
          </cell>
          <cell r="G167" t="str">
            <v>350G</v>
          </cell>
          <cell r="H167" t="str">
            <v>DSP</v>
          </cell>
          <cell r="I167" t="str">
            <v>Helper</v>
          </cell>
          <cell r="J167">
            <v>0</v>
          </cell>
          <cell r="K167">
            <v>36913</v>
          </cell>
          <cell r="L167">
            <v>0</v>
          </cell>
          <cell r="M167">
            <v>565423</v>
          </cell>
          <cell r="N167">
            <v>0</v>
          </cell>
          <cell r="O167">
            <v>0</v>
          </cell>
          <cell r="P167">
            <v>40.18</v>
          </cell>
        </row>
        <row r="168">
          <cell r="B168">
            <v>573845</v>
          </cell>
          <cell r="C168" t="str">
            <v>0100120</v>
          </cell>
          <cell r="D168" t="str">
            <v>LOPEZ, MICHAEL</v>
          </cell>
          <cell r="E168" t="str">
            <v>DRFTLR</v>
          </cell>
          <cell r="F168" t="str">
            <v>Driver - Frontloader</v>
          </cell>
          <cell r="G168" t="str">
            <v>350G</v>
          </cell>
          <cell r="H168" t="str">
            <v>DSP</v>
          </cell>
          <cell r="I168" t="str">
            <v>Driver - Lead</v>
          </cell>
          <cell r="J168">
            <v>0</v>
          </cell>
          <cell r="K168">
            <v>36956</v>
          </cell>
          <cell r="L168">
            <v>0</v>
          </cell>
          <cell r="M168">
            <v>573845</v>
          </cell>
          <cell r="N168">
            <v>0</v>
          </cell>
          <cell r="O168">
            <v>0</v>
          </cell>
          <cell r="P168">
            <v>42.23</v>
          </cell>
        </row>
        <row r="169">
          <cell r="B169">
            <v>583373</v>
          </cell>
          <cell r="C169" t="str">
            <v>0100120</v>
          </cell>
          <cell r="D169" t="str">
            <v>GONZALEZ, BENITO</v>
          </cell>
          <cell r="E169" t="str">
            <v>DRFTLR</v>
          </cell>
          <cell r="F169" t="str">
            <v>Driver - Frontloader</v>
          </cell>
          <cell r="G169" t="str">
            <v>350G</v>
          </cell>
          <cell r="H169" t="str">
            <v>DSP</v>
          </cell>
          <cell r="I169" t="str">
            <v>Driver - Lead</v>
          </cell>
          <cell r="J169">
            <v>0</v>
          </cell>
          <cell r="K169">
            <v>37004</v>
          </cell>
          <cell r="L169">
            <v>0</v>
          </cell>
          <cell r="M169">
            <v>583373</v>
          </cell>
          <cell r="N169">
            <v>0</v>
          </cell>
          <cell r="O169">
            <v>0</v>
          </cell>
          <cell r="P169">
            <v>42.23</v>
          </cell>
        </row>
        <row r="170">
          <cell r="B170">
            <v>583824</v>
          </cell>
          <cell r="C170" t="str">
            <v>0100011</v>
          </cell>
          <cell r="D170" t="str">
            <v>HANSEN, FRANK B.</v>
          </cell>
          <cell r="E170" t="str">
            <v>DRIVER</v>
          </cell>
          <cell r="F170" t="str">
            <v>Driver</v>
          </cell>
          <cell r="G170" t="str">
            <v>350G</v>
          </cell>
          <cell r="H170" t="str">
            <v>DSP</v>
          </cell>
          <cell r="I170" t="str">
            <v>Driver - Reg.</v>
          </cell>
          <cell r="J170">
            <v>0</v>
          </cell>
          <cell r="K170">
            <v>37011</v>
          </cell>
          <cell r="L170">
            <v>0</v>
          </cell>
          <cell r="M170">
            <v>583824</v>
          </cell>
          <cell r="N170">
            <v>0</v>
          </cell>
          <cell r="O170">
            <v>0</v>
          </cell>
          <cell r="P170">
            <v>42.23</v>
          </cell>
        </row>
        <row r="171">
          <cell r="B171">
            <v>584122</v>
          </cell>
          <cell r="C171" t="str">
            <v>0100110</v>
          </cell>
          <cell r="D171" t="str">
            <v>LEGER, TUPETAIKI M.</v>
          </cell>
          <cell r="E171" t="str">
            <v>DRCOM</v>
          </cell>
          <cell r="F171" t="str">
            <v>Driver - Commercial</v>
          </cell>
          <cell r="G171" t="str">
            <v>350G</v>
          </cell>
          <cell r="H171" t="str">
            <v>DSP</v>
          </cell>
          <cell r="I171" t="str">
            <v>Driver - Lead</v>
          </cell>
          <cell r="J171">
            <v>0</v>
          </cell>
          <cell r="K171">
            <v>37012</v>
          </cell>
          <cell r="L171">
            <v>0</v>
          </cell>
          <cell r="M171">
            <v>584122</v>
          </cell>
          <cell r="N171">
            <v>0</v>
          </cell>
          <cell r="O171">
            <v>0</v>
          </cell>
          <cell r="P171">
            <v>42.23</v>
          </cell>
        </row>
        <row r="172">
          <cell r="B172">
            <v>584739</v>
          </cell>
          <cell r="C172" t="str">
            <v>0100014</v>
          </cell>
          <cell r="D172" t="str">
            <v>MAGALLON, FLAVIO</v>
          </cell>
          <cell r="E172" t="str">
            <v>FTSTC3</v>
          </cell>
          <cell r="F172" t="str">
            <v>Driver - Fantastic 3</v>
          </cell>
          <cell r="G172" t="str">
            <v>350G</v>
          </cell>
          <cell r="H172" t="str">
            <v>DSP</v>
          </cell>
          <cell r="I172" t="str">
            <v>Driver - Lead</v>
          </cell>
          <cell r="J172">
            <v>0</v>
          </cell>
          <cell r="K172">
            <v>37019</v>
          </cell>
          <cell r="L172">
            <v>0</v>
          </cell>
          <cell r="M172">
            <v>584739</v>
          </cell>
          <cell r="N172">
            <v>0</v>
          </cell>
          <cell r="O172">
            <v>0</v>
          </cell>
          <cell r="P172">
            <v>42.23</v>
          </cell>
        </row>
        <row r="173">
          <cell r="B173">
            <v>588449</v>
          </cell>
          <cell r="C173" t="str">
            <v>0100010</v>
          </cell>
          <cell r="D173" t="str">
            <v>REALI, RONALD P.</v>
          </cell>
          <cell r="E173" t="str">
            <v>DRIVER</v>
          </cell>
          <cell r="F173" t="str">
            <v>Driver</v>
          </cell>
          <cell r="G173" t="str">
            <v>350G</v>
          </cell>
          <cell r="H173" t="str">
            <v>DSP</v>
          </cell>
          <cell r="I173" t="str">
            <v>Driver - Reg.</v>
          </cell>
          <cell r="J173">
            <v>0</v>
          </cell>
          <cell r="K173">
            <v>37032</v>
          </cell>
          <cell r="L173">
            <v>0</v>
          </cell>
          <cell r="M173">
            <v>588449</v>
          </cell>
          <cell r="N173">
            <v>0</v>
          </cell>
          <cell r="O173">
            <v>0</v>
          </cell>
          <cell r="P173">
            <v>42.23</v>
          </cell>
        </row>
        <row r="174">
          <cell r="B174">
            <v>592544</v>
          </cell>
          <cell r="C174" t="str">
            <v>0100010</v>
          </cell>
          <cell r="D174" t="str">
            <v>TUTWILER, DARNELL</v>
          </cell>
          <cell r="E174" t="str">
            <v>HELPER</v>
          </cell>
          <cell r="F174" t="str">
            <v>Helper</v>
          </cell>
          <cell r="G174" t="str">
            <v>350G</v>
          </cell>
          <cell r="H174" t="str">
            <v>DSP</v>
          </cell>
          <cell r="I174" t="str">
            <v>Helper</v>
          </cell>
          <cell r="J174">
            <v>0</v>
          </cell>
          <cell r="K174">
            <v>37053</v>
          </cell>
          <cell r="L174">
            <v>0</v>
          </cell>
          <cell r="M174">
            <v>592544</v>
          </cell>
          <cell r="N174">
            <v>0</v>
          </cell>
          <cell r="O174">
            <v>0</v>
          </cell>
          <cell r="P174">
            <v>40.18</v>
          </cell>
        </row>
        <row r="175">
          <cell r="B175">
            <v>596588</v>
          </cell>
          <cell r="C175" t="str">
            <v>0100010</v>
          </cell>
          <cell r="D175" t="str">
            <v>TRADE, SEAN</v>
          </cell>
          <cell r="E175" t="str">
            <v>HELPER</v>
          </cell>
          <cell r="F175" t="str">
            <v>Helper</v>
          </cell>
          <cell r="G175" t="str">
            <v>350G</v>
          </cell>
          <cell r="H175" t="str">
            <v>DSP</v>
          </cell>
          <cell r="I175" t="str">
            <v>Helper</v>
          </cell>
          <cell r="J175">
            <v>0</v>
          </cell>
          <cell r="K175">
            <v>37060</v>
          </cell>
          <cell r="L175">
            <v>0</v>
          </cell>
          <cell r="M175">
            <v>596588</v>
          </cell>
          <cell r="N175">
            <v>0</v>
          </cell>
          <cell r="O175">
            <v>0</v>
          </cell>
          <cell r="P175">
            <v>40.18</v>
          </cell>
        </row>
        <row r="176">
          <cell r="B176">
            <v>601228</v>
          </cell>
          <cell r="C176" t="str">
            <v>0100060</v>
          </cell>
          <cell r="D176" t="str">
            <v>LOYOLA, ADOLFO</v>
          </cell>
          <cell r="E176" t="str">
            <v>DRDBOX</v>
          </cell>
          <cell r="F176" t="str">
            <v>Driver - Debris Box</v>
          </cell>
          <cell r="G176" t="str">
            <v>350G</v>
          </cell>
          <cell r="H176" t="str">
            <v>DSP</v>
          </cell>
          <cell r="I176" t="str">
            <v>Driver - Lead</v>
          </cell>
          <cell r="J176">
            <v>0</v>
          </cell>
          <cell r="K176">
            <v>37075</v>
          </cell>
          <cell r="L176">
            <v>0</v>
          </cell>
          <cell r="M176">
            <v>601228</v>
          </cell>
          <cell r="N176">
            <v>0</v>
          </cell>
          <cell r="O176">
            <v>0</v>
          </cell>
          <cell r="P176">
            <v>42.23</v>
          </cell>
        </row>
        <row r="177">
          <cell r="B177">
            <v>602351</v>
          </cell>
          <cell r="C177" t="str">
            <v>0100010</v>
          </cell>
          <cell r="D177" t="str">
            <v>BARBOSA, RICHARD</v>
          </cell>
          <cell r="E177" t="str">
            <v>HELPER</v>
          </cell>
          <cell r="F177" t="str">
            <v>Helper</v>
          </cell>
          <cell r="G177" t="str">
            <v>350G</v>
          </cell>
          <cell r="H177" t="str">
            <v>DSP</v>
          </cell>
          <cell r="I177" t="str">
            <v>Helper</v>
          </cell>
          <cell r="J177">
            <v>0</v>
          </cell>
          <cell r="K177">
            <v>37081</v>
          </cell>
          <cell r="L177">
            <v>0</v>
          </cell>
          <cell r="M177">
            <v>602351</v>
          </cell>
          <cell r="N177">
            <v>0</v>
          </cell>
          <cell r="O177">
            <v>0</v>
          </cell>
          <cell r="P177">
            <v>40.18</v>
          </cell>
        </row>
        <row r="178">
          <cell r="B178">
            <v>602360</v>
          </cell>
          <cell r="C178" t="str">
            <v>0100010</v>
          </cell>
          <cell r="D178" t="str">
            <v>NAVARRO, JAVIER</v>
          </cell>
          <cell r="E178" t="str">
            <v>HELPER</v>
          </cell>
          <cell r="F178" t="str">
            <v>Helper</v>
          </cell>
          <cell r="G178" t="str">
            <v>350G</v>
          </cell>
          <cell r="H178" t="str">
            <v>DSP</v>
          </cell>
          <cell r="I178" t="str">
            <v>Helper</v>
          </cell>
          <cell r="J178">
            <v>0</v>
          </cell>
          <cell r="K178">
            <v>37082</v>
          </cell>
          <cell r="L178">
            <v>0</v>
          </cell>
          <cell r="M178">
            <v>602360</v>
          </cell>
          <cell r="N178">
            <v>0</v>
          </cell>
          <cell r="O178">
            <v>0</v>
          </cell>
          <cell r="P178">
            <v>40.18</v>
          </cell>
        </row>
        <row r="179">
          <cell r="B179">
            <v>612226</v>
          </cell>
          <cell r="C179" t="str">
            <v>0100010</v>
          </cell>
          <cell r="D179" t="str">
            <v>PADILLA, JAIRO</v>
          </cell>
          <cell r="E179" t="str">
            <v>HELPER</v>
          </cell>
          <cell r="F179" t="str">
            <v>Helper</v>
          </cell>
          <cell r="G179" t="str">
            <v>350G</v>
          </cell>
          <cell r="H179" t="str">
            <v>DSP</v>
          </cell>
          <cell r="I179" t="str">
            <v>Helper</v>
          </cell>
          <cell r="J179">
            <v>0</v>
          </cell>
          <cell r="K179">
            <v>37116</v>
          </cell>
          <cell r="L179">
            <v>0</v>
          </cell>
          <cell r="M179">
            <v>612226</v>
          </cell>
          <cell r="N179">
            <v>0</v>
          </cell>
          <cell r="O179">
            <v>0</v>
          </cell>
          <cell r="P179">
            <v>40.18</v>
          </cell>
        </row>
        <row r="180">
          <cell r="B180">
            <v>616403</v>
          </cell>
          <cell r="C180" t="str">
            <v>0100010</v>
          </cell>
          <cell r="D180" t="str">
            <v>GONZALEZ JR, DAVID</v>
          </cell>
          <cell r="E180" t="str">
            <v>HELPER</v>
          </cell>
          <cell r="F180" t="str">
            <v>Helper</v>
          </cell>
          <cell r="G180" t="str">
            <v>350G</v>
          </cell>
          <cell r="H180" t="str">
            <v>DSP</v>
          </cell>
          <cell r="I180" t="str">
            <v>Helper</v>
          </cell>
          <cell r="J180">
            <v>0</v>
          </cell>
          <cell r="K180">
            <v>37138</v>
          </cell>
          <cell r="L180">
            <v>0</v>
          </cell>
          <cell r="M180">
            <v>616403</v>
          </cell>
          <cell r="N180">
            <v>0</v>
          </cell>
          <cell r="O180">
            <v>0</v>
          </cell>
          <cell r="P180">
            <v>40.18</v>
          </cell>
        </row>
        <row r="181">
          <cell r="B181">
            <v>637693</v>
          </cell>
          <cell r="C181" t="str">
            <v>0100510</v>
          </cell>
          <cell r="D181" t="str">
            <v>BARIZON, AUGUST W.</v>
          </cell>
          <cell r="E181" t="str">
            <v>TGSHP</v>
          </cell>
          <cell r="F181" t="str">
            <v>Shop Person</v>
          </cell>
          <cell r="G181" t="str">
            <v>350G</v>
          </cell>
          <cell r="H181" t="str">
            <v>SHP</v>
          </cell>
          <cell r="I181" t="str">
            <v>350G</v>
          </cell>
          <cell r="J181">
            <v>0</v>
          </cell>
          <cell r="K181">
            <v>37208</v>
          </cell>
          <cell r="L181">
            <v>0</v>
          </cell>
          <cell r="M181">
            <v>637693</v>
          </cell>
          <cell r="N181">
            <v>0</v>
          </cell>
          <cell r="O181">
            <v>0</v>
          </cell>
          <cell r="P181">
            <v>40.540999999999997</v>
          </cell>
        </row>
        <row r="182">
          <cell r="B182">
            <v>652615</v>
          </cell>
          <cell r="C182" t="str">
            <v>0100510</v>
          </cell>
          <cell r="D182" t="str">
            <v>CHAVEZ, ISRAEL L.</v>
          </cell>
          <cell r="E182" t="str">
            <v>TGSHP</v>
          </cell>
          <cell r="F182" t="str">
            <v>Shop Person</v>
          </cell>
          <cell r="G182" t="str">
            <v>350G</v>
          </cell>
          <cell r="H182" t="str">
            <v>SHP</v>
          </cell>
          <cell r="I182" t="str">
            <v>350G</v>
          </cell>
          <cell r="J182">
            <v>0</v>
          </cell>
          <cell r="K182">
            <v>37306</v>
          </cell>
          <cell r="L182">
            <v>0</v>
          </cell>
          <cell r="M182">
            <v>652615</v>
          </cell>
          <cell r="N182">
            <v>0</v>
          </cell>
          <cell r="O182">
            <v>0</v>
          </cell>
          <cell r="P182">
            <v>40.540999999999997</v>
          </cell>
        </row>
        <row r="183">
          <cell r="B183">
            <v>673336</v>
          </cell>
          <cell r="C183" t="str">
            <v>0100510</v>
          </cell>
          <cell r="D183" t="str">
            <v>PRIEST, DAVID A.</v>
          </cell>
          <cell r="E183" t="str">
            <v>AFORES</v>
          </cell>
          <cell r="F183" t="str">
            <v>Assistant Foreperson - Shop</v>
          </cell>
          <cell r="G183" t="str">
            <v>350G</v>
          </cell>
          <cell r="H183" t="str">
            <v>SHP</v>
          </cell>
          <cell r="I183" t="str">
            <v>350G</v>
          </cell>
          <cell r="J183">
            <v>0</v>
          </cell>
          <cell r="K183">
            <v>37404</v>
          </cell>
          <cell r="L183">
            <v>0</v>
          </cell>
          <cell r="M183">
            <v>673336</v>
          </cell>
          <cell r="N183">
            <v>0</v>
          </cell>
          <cell r="O183">
            <v>0</v>
          </cell>
          <cell r="P183">
            <v>43.918999999999997</v>
          </cell>
        </row>
        <row r="184">
          <cell r="B184">
            <v>556252</v>
          </cell>
          <cell r="C184" t="str">
            <v>0100010</v>
          </cell>
          <cell r="D184" t="str">
            <v>GOMEZ, FRANCISCO J.</v>
          </cell>
          <cell r="E184" t="str">
            <v>HELPER</v>
          </cell>
          <cell r="F184" t="str">
            <v>Helper</v>
          </cell>
          <cell r="G184" t="str">
            <v>350G</v>
          </cell>
          <cell r="H184" t="str">
            <v>DSP</v>
          </cell>
          <cell r="I184" t="str">
            <v>Helper</v>
          </cell>
          <cell r="J184">
            <v>0</v>
          </cell>
          <cell r="K184">
            <v>36881</v>
          </cell>
          <cell r="L184">
            <v>0</v>
          </cell>
          <cell r="M184">
            <v>556252</v>
          </cell>
          <cell r="N184">
            <v>0</v>
          </cell>
          <cell r="O184">
            <v>0</v>
          </cell>
          <cell r="P184">
            <v>40.18</v>
          </cell>
        </row>
        <row r="185">
          <cell r="B185">
            <v>35431</v>
          </cell>
          <cell r="C185" t="str">
            <v>0100010</v>
          </cell>
          <cell r="D185" t="str">
            <v>GONZALEZ, GABINO</v>
          </cell>
          <cell r="E185" t="str">
            <v>HELPER</v>
          </cell>
          <cell r="F185" t="str">
            <v>Helper</v>
          </cell>
          <cell r="G185" t="str">
            <v>350G</v>
          </cell>
          <cell r="H185" t="str">
            <v>DSP</v>
          </cell>
          <cell r="I185" t="str">
            <v>Helper</v>
          </cell>
          <cell r="J185">
            <v>0</v>
          </cell>
          <cell r="K185">
            <v>32784</v>
          </cell>
          <cell r="L185">
            <v>0</v>
          </cell>
          <cell r="M185">
            <v>35431</v>
          </cell>
          <cell r="N185">
            <v>0</v>
          </cell>
          <cell r="O185">
            <v>0</v>
          </cell>
          <cell r="P185">
            <v>40.18</v>
          </cell>
        </row>
        <row r="186">
          <cell r="B186">
            <v>601501</v>
          </cell>
          <cell r="C186" t="str">
            <v>0100010</v>
          </cell>
          <cell r="D186" t="str">
            <v>MIRANDA, MARLON J.</v>
          </cell>
          <cell r="E186" t="str">
            <v>HELPER</v>
          </cell>
          <cell r="F186" t="str">
            <v>Helper</v>
          </cell>
          <cell r="G186" t="str">
            <v>350G</v>
          </cell>
          <cell r="H186" t="str">
            <v>DSP</v>
          </cell>
          <cell r="I186" t="str">
            <v>Helper</v>
          </cell>
          <cell r="J186">
            <v>0</v>
          </cell>
          <cell r="K186">
            <v>37089</v>
          </cell>
          <cell r="L186">
            <v>0</v>
          </cell>
          <cell r="M186">
            <v>601501</v>
          </cell>
          <cell r="N186">
            <v>0</v>
          </cell>
          <cell r="O186">
            <v>0</v>
          </cell>
          <cell r="P186">
            <v>40.18</v>
          </cell>
        </row>
        <row r="187">
          <cell r="B187">
            <v>951615</v>
          </cell>
          <cell r="C187" t="str">
            <v>0100510</v>
          </cell>
          <cell r="D187" t="str">
            <v>ROMERO, ALFREDO P.</v>
          </cell>
          <cell r="E187" t="str">
            <v>MECH</v>
          </cell>
          <cell r="F187" t="str">
            <v>Mechanic</v>
          </cell>
          <cell r="G187" t="str">
            <v>350G</v>
          </cell>
          <cell r="H187" t="str">
            <v>SHP</v>
          </cell>
          <cell r="I187" t="str">
            <v>350G</v>
          </cell>
          <cell r="J187">
            <v>0</v>
          </cell>
          <cell r="K187">
            <v>38348</v>
          </cell>
          <cell r="L187">
            <v>0</v>
          </cell>
          <cell r="M187">
            <v>951615</v>
          </cell>
          <cell r="N187">
            <v>0</v>
          </cell>
          <cell r="O187">
            <v>0</v>
          </cell>
          <cell r="P187">
            <v>43.26</v>
          </cell>
        </row>
        <row r="188">
          <cell r="B188">
            <v>1874199</v>
          </cell>
          <cell r="C188" t="str">
            <v>0100010</v>
          </cell>
          <cell r="D188" t="str">
            <v>CASTELLANOS, HUMBERTO</v>
          </cell>
          <cell r="E188" t="str">
            <v>DRIVER</v>
          </cell>
          <cell r="F188" t="str">
            <v>Driver</v>
          </cell>
          <cell r="G188" t="str">
            <v>350G</v>
          </cell>
          <cell r="H188" t="str">
            <v>DSP</v>
          </cell>
          <cell r="I188" t="str">
            <v>Driver - Reg.</v>
          </cell>
          <cell r="J188">
            <v>0</v>
          </cell>
          <cell r="K188">
            <v>38656</v>
          </cell>
          <cell r="L188">
            <v>0</v>
          </cell>
          <cell r="M188">
            <v>1874199</v>
          </cell>
          <cell r="N188">
            <v>0</v>
          </cell>
          <cell r="O188">
            <v>0</v>
          </cell>
          <cell r="P188">
            <v>42.23</v>
          </cell>
        </row>
        <row r="189">
          <cell r="B189">
            <v>83686</v>
          </cell>
          <cell r="C189" t="str">
            <v>0100014</v>
          </cell>
          <cell r="D189" t="str">
            <v>LOMELI, ROBERTO</v>
          </cell>
          <cell r="E189" t="str">
            <v>FTSTC3</v>
          </cell>
          <cell r="F189" t="str">
            <v>Driver - Fantastic 3</v>
          </cell>
          <cell r="G189" t="str">
            <v>350G</v>
          </cell>
          <cell r="H189" t="str">
            <v>DSP</v>
          </cell>
          <cell r="I189" t="str">
            <v>Driver - Lead</v>
          </cell>
          <cell r="J189">
            <v>0</v>
          </cell>
          <cell r="K189">
            <v>34726</v>
          </cell>
          <cell r="L189">
            <v>0</v>
          </cell>
          <cell r="M189">
            <v>83686</v>
          </cell>
          <cell r="N189">
            <v>0</v>
          </cell>
          <cell r="O189">
            <v>0</v>
          </cell>
          <cell r="P189">
            <v>42.23</v>
          </cell>
        </row>
        <row r="190">
          <cell r="B190">
            <v>1907253</v>
          </cell>
          <cell r="C190" t="str">
            <v>0100010</v>
          </cell>
          <cell r="D190" t="str">
            <v>SALINAS, ERNESTO</v>
          </cell>
          <cell r="E190" t="str">
            <v>HELPER</v>
          </cell>
          <cell r="F190" t="str">
            <v>Helper</v>
          </cell>
          <cell r="G190" t="str">
            <v>350G</v>
          </cell>
          <cell r="H190" t="str">
            <v>DSP</v>
          </cell>
          <cell r="I190" t="str">
            <v>Helper</v>
          </cell>
          <cell r="J190">
            <v>0</v>
          </cell>
          <cell r="K190">
            <v>38664</v>
          </cell>
          <cell r="L190">
            <v>0</v>
          </cell>
          <cell r="M190">
            <v>1907253</v>
          </cell>
          <cell r="N190">
            <v>0</v>
          </cell>
          <cell r="O190">
            <v>0</v>
          </cell>
          <cell r="P190">
            <v>40.18</v>
          </cell>
        </row>
        <row r="191">
          <cell r="B191">
            <v>2177408</v>
          </cell>
          <cell r="C191" t="str">
            <v>0100010</v>
          </cell>
          <cell r="D191" t="str">
            <v>BAUS, JAMES E.</v>
          </cell>
          <cell r="E191" t="str">
            <v>HELPER</v>
          </cell>
          <cell r="F191" t="str">
            <v>Helper</v>
          </cell>
          <cell r="G191" t="str">
            <v>350G</v>
          </cell>
          <cell r="H191" t="str">
            <v>DSP</v>
          </cell>
          <cell r="I191" t="str">
            <v>Helper</v>
          </cell>
          <cell r="J191">
            <v>0</v>
          </cell>
          <cell r="K191">
            <v>38770</v>
          </cell>
          <cell r="L191">
            <v>0</v>
          </cell>
          <cell r="M191">
            <v>2177408</v>
          </cell>
          <cell r="N191">
            <v>0</v>
          </cell>
          <cell r="O191">
            <v>0</v>
          </cell>
          <cell r="P191">
            <v>40.18</v>
          </cell>
        </row>
        <row r="192">
          <cell r="B192">
            <v>2476723</v>
          </cell>
          <cell r="C192" t="str">
            <v>0100010</v>
          </cell>
          <cell r="D192" t="str">
            <v>LOPEZ, IGNACIO E.</v>
          </cell>
          <cell r="E192" t="str">
            <v>HELPER</v>
          </cell>
          <cell r="F192" t="str">
            <v>Helper</v>
          </cell>
          <cell r="G192" t="str">
            <v>350G</v>
          </cell>
          <cell r="H192" t="str">
            <v>DSP</v>
          </cell>
          <cell r="I192" t="str">
            <v>Helper</v>
          </cell>
          <cell r="J192">
            <v>0</v>
          </cell>
          <cell r="K192">
            <v>38875</v>
          </cell>
          <cell r="L192">
            <v>0</v>
          </cell>
          <cell r="M192">
            <v>2476723</v>
          </cell>
          <cell r="N192">
            <v>0</v>
          </cell>
          <cell r="O192">
            <v>0</v>
          </cell>
          <cell r="P192">
            <v>40.18</v>
          </cell>
        </row>
        <row r="193">
          <cell r="B193">
            <v>2510274</v>
          </cell>
          <cell r="C193" t="str">
            <v>0100010</v>
          </cell>
          <cell r="D193" t="str">
            <v>BOYD, HARRY-MICHAEL K.L.</v>
          </cell>
          <cell r="E193" t="str">
            <v>HELPER</v>
          </cell>
          <cell r="F193" t="str">
            <v>Helper</v>
          </cell>
          <cell r="G193" t="str">
            <v>350G</v>
          </cell>
          <cell r="H193" t="str">
            <v>DSP</v>
          </cell>
          <cell r="I193" t="str">
            <v>Helper</v>
          </cell>
          <cell r="J193">
            <v>0</v>
          </cell>
          <cell r="K193">
            <v>38887</v>
          </cell>
          <cell r="L193">
            <v>0</v>
          </cell>
          <cell r="M193">
            <v>2510274</v>
          </cell>
          <cell r="N193">
            <v>0</v>
          </cell>
          <cell r="O193">
            <v>0</v>
          </cell>
          <cell r="P193">
            <v>40.18</v>
          </cell>
        </row>
        <row r="194">
          <cell r="B194">
            <v>2661339</v>
          </cell>
          <cell r="C194" t="str">
            <v>0100510</v>
          </cell>
          <cell r="D194" t="str">
            <v>RAMOS, JESUS</v>
          </cell>
          <cell r="E194" t="str">
            <v>TGSHP</v>
          </cell>
          <cell r="F194" t="str">
            <v>Shop Person</v>
          </cell>
          <cell r="G194" t="str">
            <v>350G</v>
          </cell>
          <cell r="H194" t="str">
            <v>SHP</v>
          </cell>
          <cell r="I194" t="str">
            <v>350G</v>
          </cell>
          <cell r="J194">
            <v>0</v>
          </cell>
          <cell r="K194">
            <v>38943</v>
          </cell>
          <cell r="L194">
            <v>0</v>
          </cell>
          <cell r="M194">
            <v>2661339</v>
          </cell>
          <cell r="N194">
            <v>0</v>
          </cell>
          <cell r="O194">
            <v>0</v>
          </cell>
          <cell r="P194">
            <v>40.540999999999997</v>
          </cell>
        </row>
        <row r="195">
          <cell r="B195">
            <v>2667618</v>
          </cell>
          <cell r="C195" t="str">
            <v>0100010</v>
          </cell>
          <cell r="D195" t="str">
            <v>PLATERO, MARIO A.</v>
          </cell>
          <cell r="E195" t="str">
            <v>HELPER</v>
          </cell>
          <cell r="F195" t="str">
            <v>Helper</v>
          </cell>
          <cell r="G195" t="str">
            <v>350G</v>
          </cell>
          <cell r="H195" t="str">
            <v>DSP</v>
          </cell>
          <cell r="I195" t="str">
            <v>Helper</v>
          </cell>
          <cell r="J195">
            <v>0</v>
          </cell>
          <cell r="K195">
            <v>38946</v>
          </cell>
          <cell r="L195">
            <v>0</v>
          </cell>
          <cell r="M195">
            <v>2667618</v>
          </cell>
          <cell r="N195">
            <v>0</v>
          </cell>
          <cell r="O195">
            <v>0</v>
          </cell>
          <cell r="P195">
            <v>40.18</v>
          </cell>
        </row>
        <row r="196">
          <cell r="B196">
            <v>2746439</v>
          </cell>
          <cell r="C196" t="str">
            <v>0100510</v>
          </cell>
          <cell r="D196" t="str">
            <v>HERNANDEZ, JUAN C.</v>
          </cell>
          <cell r="E196" t="str">
            <v>AFORES</v>
          </cell>
          <cell r="F196" t="str">
            <v>Assistant Foreperson - Shop</v>
          </cell>
          <cell r="G196" t="str">
            <v>350G</v>
          </cell>
          <cell r="H196" t="str">
            <v>SHP</v>
          </cell>
          <cell r="I196" t="str">
            <v>350G</v>
          </cell>
          <cell r="J196">
            <v>0</v>
          </cell>
          <cell r="K196">
            <v>38978</v>
          </cell>
          <cell r="L196">
            <v>0</v>
          </cell>
          <cell r="M196">
            <v>2746439</v>
          </cell>
          <cell r="N196">
            <v>0</v>
          </cell>
          <cell r="O196">
            <v>0</v>
          </cell>
          <cell r="P196">
            <v>43.918999999999997</v>
          </cell>
        </row>
        <row r="197">
          <cell r="B197">
            <v>2303865</v>
          </cell>
          <cell r="C197" t="str">
            <v>0100010</v>
          </cell>
          <cell r="D197" t="str">
            <v>REBHAHN, DANIEL G.</v>
          </cell>
          <cell r="E197" t="str">
            <v>DRIVER</v>
          </cell>
          <cell r="F197" t="str">
            <v>Driver</v>
          </cell>
          <cell r="G197" t="str">
            <v>350G</v>
          </cell>
          <cell r="H197" t="str">
            <v>DSP</v>
          </cell>
          <cell r="I197" t="str">
            <v>Driver - Reg.</v>
          </cell>
          <cell r="J197">
            <v>0</v>
          </cell>
          <cell r="K197">
            <v>38810</v>
          </cell>
          <cell r="L197">
            <v>0</v>
          </cell>
          <cell r="M197">
            <v>2303865</v>
          </cell>
          <cell r="N197">
            <v>0</v>
          </cell>
          <cell r="O197">
            <v>0</v>
          </cell>
          <cell r="P197">
            <v>42.23</v>
          </cell>
        </row>
        <row r="198">
          <cell r="B198">
            <v>2612422</v>
          </cell>
          <cell r="C198" t="str">
            <v>0100010</v>
          </cell>
          <cell r="D198" t="str">
            <v>MCPARTLAND, GRIFFIN H.C.</v>
          </cell>
          <cell r="E198" t="str">
            <v>HELPER</v>
          </cell>
          <cell r="F198" t="str">
            <v>Helper</v>
          </cell>
          <cell r="G198" t="str">
            <v>350G</v>
          </cell>
          <cell r="H198" t="str">
            <v>DSP</v>
          </cell>
          <cell r="I198" t="str">
            <v>Helper</v>
          </cell>
          <cell r="J198">
            <v>0</v>
          </cell>
          <cell r="K198">
            <v>39048</v>
          </cell>
          <cell r="L198">
            <v>0</v>
          </cell>
          <cell r="M198">
            <v>2612422</v>
          </cell>
          <cell r="N198">
            <v>0</v>
          </cell>
          <cell r="O198">
            <v>0</v>
          </cell>
          <cell r="P198">
            <v>40.18</v>
          </cell>
        </row>
        <row r="199">
          <cell r="B199">
            <v>34366</v>
          </cell>
          <cell r="C199" t="str">
            <v>0100010</v>
          </cell>
          <cell r="D199" t="str">
            <v>DIAZ, JOSE A.</v>
          </cell>
          <cell r="E199" t="str">
            <v>HELPER</v>
          </cell>
          <cell r="F199" t="str">
            <v>Helper</v>
          </cell>
          <cell r="G199" t="str">
            <v>350G</v>
          </cell>
          <cell r="H199" t="str">
            <v>DSP</v>
          </cell>
          <cell r="I199" t="str">
            <v>Helper</v>
          </cell>
          <cell r="J199">
            <v>0</v>
          </cell>
          <cell r="K199">
            <v>30571</v>
          </cell>
          <cell r="L199">
            <v>0</v>
          </cell>
          <cell r="M199">
            <v>34366</v>
          </cell>
          <cell r="N199">
            <v>0</v>
          </cell>
          <cell r="O199">
            <v>0</v>
          </cell>
          <cell r="P199">
            <v>40.18</v>
          </cell>
        </row>
        <row r="200">
          <cell r="B200">
            <v>34497</v>
          </cell>
          <cell r="C200" t="str">
            <v>0100010</v>
          </cell>
          <cell r="D200" t="str">
            <v>ALVAREZ, VICTORIANO</v>
          </cell>
          <cell r="E200" t="str">
            <v>HELPER</v>
          </cell>
          <cell r="F200" t="str">
            <v>Helper</v>
          </cell>
          <cell r="G200" t="str">
            <v>350G</v>
          </cell>
          <cell r="H200" t="str">
            <v>DSP</v>
          </cell>
          <cell r="I200" t="str">
            <v>Helper</v>
          </cell>
          <cell r="J200">
            <v>0</v>
          </cell>
          <cell r="K200">
            <v>32706</v>
          </cell>
          <cell r="L200">
            <v>0</v>
          </cell>
          <cell r="M200">
            <v>34497</v>
          </cell>
          <cell r="N200">
            <v>0</v>
          </cell>
          <cell r="O200">
            <v>0</v>
          </cell>
          <cell r="P200">
            <v>40.18</v>
          </cell>
        </row>
        <row r="201">
          <cell r="B201">
            <v>73621</v>
          </cell>
          <cell r="C201" t="str">
            <v>0100010</v>
          </cell>
          <cell r="D201" t="str">
            <v>BISHOP, SHAWN L.</v>
          </cell>
          <cell r="E201" t="str">
            <v>HELPER</v>
          </cell>
          <cell r="F201" t="str">
            <v>Helper</v>
          </cell>
          <cell r="G201" t="str">
            <v>350G</v>
          </cell>
          <cell r="H201" t="str">
            <v>DSP</v>
          </cell>
          <cell r="I201" t="str">
            <v>Helper</v>
          </cell>
          <cell r="J201">
            <v>0</v>
          </cell>
          <cell r="K201">
            <v>33242</v>
          </cell>
          <cell r="L201">
            <v>0</v>
          </cell>
          <cell r="M201">
            <v>73621</v>
          </cell>
          <cell r="N201">
            <v>0</v>
          </cell>
          <cell r="O201">
            <v>0</v>
          </cell>
          <cell r="P201">
            <v>40.18</v>
          </cell>
        </row>
        <row r="202">
          <cell r="B202">
            <v>3478181</v>
          </cell>
          <cell r="C202" t="str">
            <v>0100010</v>
          </cell>
          <cell r="D202" t="str">
            <v>JIMENEZ, HARVEY</v>
          </cell>
          <cell r="E202" t="str">
            <v>HELPER</v>
          </cell>
          <cell r="F202" t="str">
            <v>Helper</v>
          </cell>
          <cell r="G202" t="str">
            <v>350G</v>
          </cell>
          <cell r="H202" t="str">
            <v>DSP</v>
          </cell>
          <cell r="I202" t="str">
            <v>Helper</v>
          </cell>
          <cell r="J202">
            <v>0</v>
          </cell>
          <cell r="K202">
            <v>39265</v>
          </cell>
          <cell r="L202">
            <v>0</v>
          </cell>
          <cell r="M202">
            <v>3478181</v>
          </cell>
          <cell r="N202">
            <v>0</v>
          </cell>
          <cell r="O202">
            <v>0</v>
          </cell>
          <cell r="P202">
            <v>40.18</v>
          </cell>
        </row>
        <row r="203">
          <cell r="B203">
            <v>3480548</v>
          </cell>
          <cell r="C203" t="str">
            <v>0100010</v>
          </cell>
          <cell r="D203" t="str">
            <v>GONZALEZ BARRIOS, FERNANDO</v>
          </cell>
          <cell r="E203" t="str">
            <v>HELPER</v>
          </cell>
          <cell r="F203" t="str">
            <v>Helper</v>
          </cell>
          <cell r="G203" t="str">
            <v>350G</v>
          </cell>
          <cell r="H203" t="str">
            <v>DSP</v>
          </cell>
          <cell r="I203" t="str">
            <v>Helper</v>
          </cell>
          <cell r="J203">
            <v>0</v>
          </cell>
          <cell r="K203">
            <v>39272</v>
          </cell>
          <cell r="L203">
            <v>0</v>
          </cell>
          <cell r="M203">
            <v>3480548</v>
          </cell>
          <cell r="N203">
            <v>0</v>
          </cell>
          <cell r="O203">
            <v>0</v>
          </cell>
          <cell r="P203">
            <v>40.18</v>
          </cell>
        </row>
        <row r="204">
          <cell r="B204">
            <v>2625186</v>
          </cell>
          <cell r="C204" t="str">
            <v>0100010</v>
          </cell>
          <cell r="D204" t="str">
            <v>RATTARO, JOSEPH S.</v>
          </cell>
          <cell r="E204" t="str">
            <v>HELPER</v>
          </cell>
          <cell r="F204" t="str">
            <v>Helper</v>
          </cell>
          <cell r="G204" t="str">
            <v>350G</v>
          </cell>
          <cell r="H204" t="str">
            <v>DSP</v>
          </cell>
          <cell r="I204" t="str">
            <v>Helper</v>
          </cell>
          <cell r="J204">
            <v>0</v>
          </cell>
          <cell r="K204">
            <v>39300</v>
          </cell>
          <cell r="L204">
            <v>0</v>
          </cell>
          <cell r="M204">
            <v>2625186</v>
          </cell>
          <cell r="N204">
            <v>0</v>
          </cell>
          <cell r="O204">
            <v>0</v>
          </cell>
          <cell r="P204">
            <v>40.18</v>
          </cell>
        </row>
        <row r="205">
          <cell r="B205">
            <v>103245</v>
          </cell>
          <cell r="C205" t="str">
            <v>0100510</v>
          </cell>
          <cell r="D205" t="str">
            <v>CASTELLANOS, ALFONSO</v>
          </cell>
          <cell r="E205" t="str">
            <v>TGSHP</v>
          </cell>
          <cell r="F205" t="str">
            <v>Shop Person</v>
          </cell>
          <cell r="G205" t="str">
            <v>350G</v>
          </cell>
          <cell r="H205" t="str">
            <v>SHP</v>
          </cell>
          <cell r="I205" t="str">
            <v>350G</v>
          </cell>
          <cell r="J205">
            <v>0</v>
          </cell>
          <cell r="K205">
            <v>32529</v>
          </cell>
          <cell r="L205">
            <v>0</v>
          </cell>
          <cell r="M205">
            <v>103245</v>
          </cell>
          <cell r="N205">
            <v>0</v>
          </cell>
          <cell r="O205">
            <v>0</v>
          </cell>
          <cell r="P205">
            <v>40.540999999999997</v>
          </cell>
        </row>
        <row r="206">
          <cell r="B206">
            <v>33460</v>
          </cell>
          <cell r="C206" t="str">
            <v>0100510</v>
          </cell>
          <cell r="D206" t="str">
            <v>PICAZO, JESUS</v>
          </cell>
          <cell r="E206" t="str">
            <v>TGSHP</v>
          </cell>
          <cell r="F206" t="str">
            <v>Shop Person</v>
          </cell>
          <cell r="G206" t="str">
            <v>350G</v>
          </cell>
          <cell r="H206" t="str">
            <v>SHP</v>
          </cell>
          <cell r="I206" t="str">
            <v>350G</v>
          </cell>
          <cell r="J206">
            <v>0</v>
          </cell>
          <cell r="K206">
            <v>39545</v>
          </cell>
          <cell r="L206">
            <v>0</v>
          </cell>
          <cell r="M206">
            <v>33460</v>
          </cell>
          <cell r="N206">
            <v>0</v>
          </cell>
          <cell r="O206" t="str">
            <v>Pay Start Date</v>
          </cell>
          <cell r="P206">
            <v>40.540999999999997</v>
          </cell>
        </row>
        <row r="207">
          <cell r="B207">
            <v>4068985</v>
          </cell>
          <cell r="C207" t="str">
            <v>0100510</v>
          </cell>
          <cell r="D207" t="str">
            <v>KILMARTIN, SEAN P.</v>
          </cell>
          <cell r="E207" t="str">
            <v>TGSHP</v>
          </cell>
          <cell r="F207" t="str">
            <v>Shop Person</v>
          </cell>
          <cell r="G207" t="str">
            <v>350G</v>
          </cell>
          <cell r="H207" t="str">
            <v>SHP</v>
          </cell>
          <cell r="I207" t="str">
            <v>350G</v>
          </cell>
          <cell r="J207">
            <v>0</v>
          </cell>
          <cell r="K207">
            <v>39566</v>
          </cell>
          <cell r="L207">
            <v>0</v>
          </cell>
          <cell r="M207">
            <v>4068985</v>
          </cell>
          <cell r="N207">
            <v>0</v>
          </cell>
          <cell r="O207">
            <v>0</v>
          </cell>
          <cell r="P207">
            <v>40.540999999999997</v>
          </cell>
        </row>
        <row r="208">
          <cell r="B208">
            <v>4446288</v>
          </cell>
          <cell r="C208" t="str">
            <v>0100510</v>
          </cell>
          <cell r="D208" t="str">
            <v>REA IV, EVERETT A.</v>
          </cell>
          <cell r="E208" t="str">
            <v>MECH</v>
          </cell>
          <cell r="F208" t="str">
            <v>Mechanic</v>
          </cell>
          <cell r="G208" t="str">
            <v>350G</v>
          </cell>
          <cell r="H208" t="str">
            <v>SHP</v>
          </cell>
          <cell r="I208" t="str">
            <v>350G</v>
          </cell>
          <cell r="J208">
            <v>0</v>
          </cell>
          <cell r="K208">
            <v>40133</v>
          </cell>
          <cell r="L208">
            <v>0</v>
          </cell>
          <cell r="M208">
            <v>4446288</v>
          </cell>
          <cell r="N208">
            <v>0</v>
          </cell>
          <cell r="O208">
            <v>0</v>
          </cell>
          <cell r="P208">
            <v>43.26</v>
          </cell>
        </row>
        <row r="209">
          <cell r="B209">
            <v>4539935</v>
          </cell>
          <cell r="C209" t="str">
            <v>0100010</v>
          </cell>
          <cell r="D209" t="str">
            <v>YATES, DAVID L.</v>
          </cell>
          <cell r="E209" t="str">
            <v>HELPER</v>
          </cell>
          <cell r="F209" t="str">
            <v>Helper</v>
          </cell>
          <cell r="G209" t="str">
            <v>350G</v>
          </cell>
          <cell r="H209" t="str">
            <v>DSP</v>
          </cell>
          <cell r="I209" t="str">
            <v>Helper</v>
          </cell>
          <cell r="J209">
            <v>0</v>
          </cell>
          <cell r="K209">
            <v>40651</v>
          </cell>
          <cell r="L209">
            <v>0</v>
          </cell>
          <cell r="M209">
            <v>4539935</v>
          </cell>
          <cell r="N209">
            <v>0</v>
          </cell>
          <cell r="O209" t="str">
            <v>Pay Start Date, Trans from RSS</v>
          </cell>
          <cell r="P209">
            <v>32.143999999999998</v>
          </cell>
        </row>
        <row r="210">
          <cell r="B210">
            <v>97691</v>
          </cell>
          <cell r="C210" t="str">
            <v>0100010</v>
          </cell>
          <cell r="D210" t="str">
            <v>RUIZ JR, EFRAIN</v>
          </cell>
          <cell r="E210" t="str">
            <v>HELPER</v>
          </cell>
          <cell r="F210" t="str">
            <v>Helper</v>
          </cell>
          <cell r="G210" t="str">
            <v>350G</v>
          </cell>
          <cell r="H210" t="str">
            <v>DSP</v>
          </cell>
          <cell r="I210" t="str">
            <v>Helper</v>
          </cell>
          <cell r="J210">
            <v>0</v>
          </cell>
          <cell r="K210">
            <v>35231</v>
          </cell>
          <cell r="L210">
            <v>0</v>
          </cell>
          <cell r="M210">
            <v>97691</v>
          </cell>
          <cell r="N210">
            <v>0</v>
          </cell>
          <cell r="O210">
            <v>0</v>
          </cell>
          <cell r="P210">
            <v>40.18</v>
          </cell>
        </row>
        <row r="211">
          <cell r="B211">
            <v>4659873</v>
          </cell>
          <cell r="C211" t="str">
            <v>0100010</v>
          </cell>
          <cell r="D211" t="str">
            <v>WILLIAMS JR, JAMES R.</v>
          </cell>
          <cell r="E211" t="str">
            <v>HELPER</v>
          </cell>
          <cell r="F211" t="str">
            <v>Helper</v>
          </cell>
          <cell r="G211" t="str">
            <v>350G</v>
          </cell>
          <cell r="H211" t="str">
            <v>DSP</v>
          </cell>
          <cell r="I211" t="str">
            <v>Helper</v>
          </cell>
          <cell r="J211">
            <v>0</v>
          </cell>
          <cell r="K211">
            <v>40546</v>
          </cell>
          <cell r="L211">
            <v>0</v>
          </cell>
          <cell r="M211">
            <v>4659873</v>
          </cell>
          <cell r="N211">
            <v>0</v>
          </cell>
          <cell r="O211">
            <v>0</v>
          </cell>
          <cell r="P211">
            <v>40.18</v>
          </cell>
        </row>
        <row r="212">
          <cell r="B212">
            <v>4659785</v>
          </cell>
          <cell r="C212" t="str">
            <v>0100010</v>
          </cell>
          <cell r="D212" t="str">
            <v>NARINGAHON, JESSE</v>
          </cell>
          <cell r="E212" t="str">
            <v>HELPER</v>
          </cell>
          <cell r="F212" t="str">
            <v>Helper</v>
          </cell>
          <cell r="G212" t="str">
            <v>350G</v>
          </cell>
          <cell r="H212" t="str">
            <v>DSP</v>
          </cell>
          <cell r="I212" t="str">
            <v>Helper</v>
          </cell>
          <cell r="J212">
            <v>0</v>
          </cell>
          <cell r="K212">
            <v>40546</v>
          </cell>
          <cell r="L212">
            <v>0</v>
          </cell>
          <cell r="M212">
            <v>4659785</v>
          </cell>
          <cell r="N212">
            <v>0</v>
          </cell>
          <cell r="O212">
            <v>0</v>
          </cell>
          <cell r="P212">
            <v>36.161999999999999</v>
          </cell>
        </row>
        <row r="213">
          <cell r="B213">
            <v>4128271</v>
          </cell>
          <cell r="C213" t="str">
            <v>0100510</v>
          </cell>
          <cell r="D213" t="str">
            <v>ARGANA, PATRICK C.</v>
          </cell>
          <cell r="E213" t="str">
            <v>MECH</v>
          </cell>
          <cell r="F213" t="str">
            <v>Mechanic</v>
          </cell>
          <cell r="G213" t="str">
            <v>350G</v>
          </cell>
          <cell r="H213" t="str">
            <v>SHP</v>
          </cell>
          <cell r="I213" t="str">
            <v>350G</v>
          </cell>
          <cell r="J213">
            <v>0</v>
          </cell>
          <cell r="K213">
            <v>40777</v>
          </cell>
          <cell r="L213">
            <v>0</v>
          </cell>
          <cell r="M213">
            <v>4128271</v>
          </cell>
          <cell r="N213">
            <v>0</v>
          </cell>
          <cell r="O213">
            <v>0</v>
          </cell>
          <cell r="P213">
            <v>38.933999999999997</v>
          </cell>
        </row>
        <row r="214">
          <cell r="B214">
            <v>4854601</v>
          </cell>
          <cell r="C214" t="str">
            <v>0100010</v>
          </cell>
          <cell r="D214" t="str">
            <v>CARINI, ROBERT J.</v>
          </cell>
          <cell r="E214" t="str">
            <v>HELPER</v>
          </cell>
          <cell r="F214" t="str">
            <v>Helper</v>
          </cell>
          <cell r="G214" t="str">
            <v>350G</v>
          </cell>
          <cell r="H214" t="str">
            <v>DSP</v>
          </cell>
          <cell r="I214" t="str">
            <v>Helper</v>
          </cell>
          <cell r="J214">
            <v>0</v>
          </cell>
          <cell r="K214">
            <v>40841</v>
          </cell>
          <cell r="L214">
            <v>0</v>
          </cell>
          <cell r="M214">
            <v>4854601</v>
          </cell>
          <cell r="N214">
            <v>0</v>
          </cell>
          <cell r="O214">
            <v>0</v>
          </cell>
          <cell r="P214">
            <v>36.161999999999999</v>
          </cell>
        </row>
        <row r="215">
          <cell r="B215">
            <v>33814</v>
          </cell>
          <cell r="C215" t="str">
            <v>0100060</v>
          </cell>
          <cell r="D215" t="str">
            <v>ELLIS, VERNA L.</v>
          </cell>
          <cell r="E215" t="str">
            <v>CSREP2</v>
          </cell>
          <cell r="F215" t="str">
            <v>Customer Service Rep II</v>
          </cell>
          <cell r="G215" t="str">
            <v>350CLR</v>
          </cell>
          <cell r="H215" t="str">
            <v>COM</v>
          </cell>
          <cell r="I215" t="str">
            <v>350CLR</v>
          </cell>
          <cell r="J215">
            <v>0</v>
          </cell>
          <cell r="K215">
            <v>32560</v>
          </cell>
          <cell r="L215">
            <v>0</v>
          </cell>
          <cell r="M215">
            <v>33814</v>
          </cell>
          <cell r="N215">
            <v>0</v>
          </cell>
          <cell r="O215">
            <v>0</v>
          </cell>
          <cell r="P215">
            <v>29.704999999999998</v>
          </cell>
        </row>
        <row r="216">
          <cell r="B216">
            <v>87783</v>
          </cell>
          <cell r="C216" t="str">
            <v>0100060</v>
          </cell>
          <cell r="D216" t="str">
            <v>BETTENCOURT, GERALD A.</v>
          </cell>
          <cell r="E216" t="str">
            <v>CSREP2</v>
          </cell>
          <cell r="F216" t="str">
            <v>Customer Service Rep II</v>
          </cell>
          <cell r="G216" t="str">
            <v>350CLR</v>
          </cell>
          <cell r="H216" t="str">
            <v>COM</v>
          </cell>
          <cell r="I216" t="str">
            <v>350CLR</v>
          </cell>
          <cell r="J216">
            <v>0</v>
          </cell>
          <cell r="K216">
            <v>34281</v>
          </cell>
          <cell r="L216">
            <v>0</v>
          </cell>
          <cell r="M216">
            <v>87783</v>
          </cell>
          <cell r="N216">
            <v>0</v>
          </cell>
          <cell r="O216">
            <v>0</v>
          </cell>
          <cell r="P216">
            <v>29.704999999999998</v>
          </cell>
        </row>
        <row r="217">
          <cell r="B217">
            <v>999991</v>
          </cell>
          <cell r="C217" t="str">
            <v>0100014</v>
          </cell>
          <cell r="D217" t="str">
            <v>New Hire</v>
          </cell>
          <cell r="E217" t="str">
            <v>HELPER</v>
          </cell>
          <cell r="F217" t="str">
            <v>Helper</v>
          </cell>
          <cell r="G217" t="str">
            <v>350G</v>
          </cell>
          <cell r="H217" t="str">
            <v>DSP</v>
          </cell>
          <cell r="I217" t="str">
            <v>Helper</v>
          </cell>
          <cell r="J217">
            <v>0</v>
          </cell>
          <cell r="K217">
            <v>41183</v>
          </cell>
          <cell r="L217">
            <v>0</v>
          </cell>
          <cell r="M217">
            <v>999991</v>
          </cell>
          <cell r="N217">
            <v>0</v>
          </cell>
          <cell r="O217" t="str">
            <v>Step 2</v>
          </cell>
          <cell r="P217">
            <v>32.143999999999998</v>
          </cell>
        </row>
        <row r="218">
          <cell r="B218">
            <v>999992</v>
          </cell>
          <cell r="C218" t="str">
            <v>0100110</v>
          </cell>
          <cell r="D218" t="str">
            <v>New Hire</v>
          </cell>
          <cell r="E218" t="str">
            <v>DRFTLR</v>
          </cell>
          <cell r="F218" t="str">
            <v>Driver - Frontloader</v>
          </cell>
          <cell r="G218" t="str">
            <v>350G</v>
          </cell>
          <cell r="H218" t="str">
            <v>DSP</v>
          </cell>
          <cell r="I218" t="str">
            <v>Driver - Lead</v>
          </cell>
          <cell r="J218">
            <v>0</v>
          </cell>
          <cell r="K218">
            <v>41122</v>
          </cell>
          <cell r="L218">
            <v>0</v>
          </cell>
          <cell r="M218">
            <v>999992</v>
          </cell>
          <cell r="N218">
            <v>0</v>
          </cell>
          <cell r="O218" t="str">
            <v>Step 2</v>
          </cell>
          <cell r="P218">
            <v>33.783999999999999</v>
          </cell>
        </row>
        <row r="219">
          <cell r="B219">
            <v>999993</v>
          </cell>
          <cell r="C219" t="str">
            <v>0100110</v>
          </cell>
          <cell r="D219" t="str">
            <v>New Hire</v>
          </cell>
          <cell r="E219" t="str">
            <v>DRFTLR</v>
          </cell>
          <cell r="F219" t="str">
            <v>Driver - Frontloader</v>
          </cell>
          <cell r="G219" t="str">
            <v>350G</v>
          </cell>
          <cell r="H219" t="str">
            <v>DSP</v>
          </cell>
          <cell r="I219" t="str">
            <v>Driver - Lead</v>
          </cell>
          <cell r="J219">
            <v>0</v>
          </cell>
          <cell r="K219">
            <v>41122</v>
          </cell>
          <cell r="L219">
            <v>0</v>
          </cell>
          <cell r="M219">
            <v>999993</v>
          </cell>
          <cell r="N219">
            <v>0</v>
          </cell>
          <cell r="O219" t="str">
            <v>Step 2</v>
          </cell>
          <cell r="P219">
            <v>33.783999999999999</v>
          </cell>
        </row>
        <row r="220">
          <cell r="B220">
            <v>999994</v>
          </cell>
          <cell r="C220" t="str">
            <v>0100110</v>
          </cell>
          <cell r="D220" t="str">
            <v>New Hire</v>
          </cell>
          <cell r="E220" t="str">
            <v>DRFTLR</v>
          </cell>
          <cell r="F220" t="str">
            <v>Driver - Frontloader</v>
          </cell>
          <cell r="G220" t="str">
            <v>350G</v>
          </cell>
          <cell r="H220" t="str">
            <v>DSP</v>
          </cell>
          <cell r="I220" t="str">
            <v>Driver - Lead</v>
          </cell>
          <cell r="J220">
            <v>0</v>
          </cell>
          <cell r="K220">
            <v>41183</v>
          </cell>
          <cell r="L220">
            <v>0</v>
          </cell>
          <cell r="M220">
            <v>999994</v>
          </cell>
          <cell r="N220">
            <v>0</v>
          </cell>
          <cell r="O220" t="str">
            <v>Step 2</v>
          </cell>
          <cell r="P220">
            <v>33.783999999999999</v>
          </cell>
        </row>
        <row r="221">
          <cell r="B221">
            <v>999996</v>
          </cell>
          <cell r="C221" t="str">
            <v>0100510</v>
          </cell>
          <cell r="D221" t="str">
            <v>New Hire</v>
          </cell>
          <cell r="E221" t="str">
            <v>MECH</v>
          </cell>
          <cell r="F221" t="str">
            <v>Mechanic</v>
          </cell>
          <cell r="G221" t="str">
            <v>350G</v>
          </cell>
          <cell r="H221" t="str">
            <v>SHP</v>
          </cell>
          <cell r="I221" t="str">
            <v>350G</v>
          </cell>
          <cell r="J221">
            <v>0</v>
          </cell>
          <cell r="K221">
            <v>41183</v>
          </cell>
          <cell r="L221">
            <v>0</v>
          </cell>
          <cell r="M221">
            <v>999996</v>
          </cell>
          <cell r="N221">
            <v>0</v>
          </cell>
          <cell r="O221" t="str">
            <v>Step 2</v>
          </cell>
          <cell r="P221">
            <v>34.607999999999997</v>
          </cell>
        </row>
        <row r="222">
          <cell r="B222">
            <v>999997</v>
          </cell>
          <cell r="C222" t="str">
            <v>0100510</v>
          </cell>
          <cell r="D222" t="str">
            <v>New Hire</v>
          </cell>
          <cell r="E222" t="str">
            <v>MECH</v>
          </cell>
          <cell r="F222" t="str">
            <v>Mechanic</v>
          </cell>
          <cell r="G222" t="str">
            <v>350G</v>
          </cell>
          <cell r="H222" t="str">
            <v>SHP</v>
          </cell>
          <cell r="I222" t="str">
            <v>350G</v>
          </cell>
          <cell r="J222">
            <v>0</v>
          </cell>
          <cell r="K222">
            <v>41214</v>
          </cell>
          <cell r="L222">
            <v>0</v>
          </cell>
          <cell r="M222">
            <v>999997</v>
          </cell>
          <cell r="N222">
            <v>0</v>
          </cell>
          <cell r="O222" t="str">
            <v>Step 2</v>
          </cell>
          <cell r="P222">
            <v>34.607999999999997</v>
          </cell>
        </row>
        <row r="223">
          <cell r="B223">
            <v>999998</v>
          </cell>
          <cell r="C223" t="str">
            <v>0100120</v>
          </cell>
          <cell r="D223" t="str">
            <v>New Hire</v>
          </cell>
          <cell r="E223" t="str">
            <v>DRCOM</v>
          </cell>
          <cell r="F223" t="str">
            <v>Driver - Commercial</v>
          </cell>
          <cell r="G223" t="str">
            <v>350G</v>
          </cell>
          <cell r="H223" t="str">
            <v>DSP</v>
          </cell>
          <cell r="I223" t="str">
            <v>Driver - Lead</v>
          </cell>
          <cell r="J223">
            <v>0</v>
          </cell>
          <cell r="K223">
            <v>41275</v>
          </cell>
          <cell r="L223">
            <v>0</v>
          </cell>
          <cell r="M223">
            <v>999998</v>
          </cell>
          <cell r="N223">
            <v>0</v>
          </cell>
          <cell r="O223" t="str">
            <v>Step 2</v>
          </cell>
          <cell r="P223">
            <v>33.783999999999999</v>
          </cell>
        </row>
        <row r="224">
          <cell r="B224">
            <v>999999</v>
          </cell>
          <cell r="C224" t="str">
            <v>0100120</v>
          </cell>
          <cell r="D224" t="str">
            <v>New Hire</v>
          </cell>
          <cell r="E224" t="str">
            <v>DIVAUD</v>
          </cell>
          <cell r="F224" t="str">
            <v>Diversion Auditor</v>
          </cell>
          <cell r="G224">
            <v>0</v>
          </cell>
          <cell r="H224" t="str">
            <v>OFC</v>
          </cell>
          <cell r="I224" t="str">
            <v>NonEx</v>
          </cell>
          <cell r="J224">
            <v>0</v>
          </cell>
          <cell r="K224">
            <v>41275</v>
          </cell>
          <cell r="L224">
            <v>0</v>
          </cell>
          <cell r="M224">
            <v>999999</v>
          </cell>
          <cell r="N224">
            <v>0</v>
          </cell>
          <cell r="O224">
            <v>0</v>
          </cell>
          <cell r="P224">
            <v>25</v>
          </cell>
        </row>
        <row r="225">
          <cell r="B225">
            <v>999910</v>
          </cell>
          <cell r="C225" t="str">
            <v>0100011</v>
          </cell>
          <cell r="D225" t="str">
            <v>New Hire</v>
          </cell>
          <cell r="E225" t="str">
            <v>DRIVER</v>
          </cell>
          <cell r="F225" t="str">
            <v>Driver</v>
          </cell>
          <cell r="G225" t="str">
            <v>350G</v>
          </cell>
          <cell r="H225" t="str">
            <v>DSP</v>
          </cell>
          <cell r="I225" t="str">
            <v>Driver - Reg.</v>
          </cell>
          <cell r="J225">
            <v>0</v>
          </cell>
          <cell r="K225">
            <v>41275</v>
          </cell>
          <cell r="L225">
            <v>0</v>
          </cell>
          <cell r="M225">
            <v>999910</v>
          </cell>
          <cell r="N225">
            <v>0</v>
          </cell>
          <cell r="O225" t="str">
            <v>Step 2</v>
          </cell>
          <cell r="P225">
            <v>33.783999999999999</v>
          </cell>
        </row>
        <row r="226">
          <cell r="B226">
            <v>999911</v>
          </cell>
          <cell r="C226" t="str">
            <v>0100011</v>
          </cell>
          <cell r="D226" t="str">
            <v>New Hire</v>
          </cell>
          <cell r="E226" t="str">
            <v>DRIVER</v>
          </cell>
          <cell r="F226" t="str">
            <v>Driver</v>
          </cell>
          <cell r="G226" t="str">
            <v>350G</v>
          </cell>
          <cell r="H226" t="str">
            <v>DSP</v>
          </cell>
          <cell r="I226" t="str">
            <v>Driver - Reg.</v>
          </cell>
          <cell r="J226">
            <v>0</v>
          </cell>
          <cell r="K226">
            <v>41275</v>
          </cell>
          <cell r="L226">
            <v>0</v>
          </cell>
          <cell r="M226">
            <v>999911</v>
          </cell>
          <cell r="N226">
            <v>0</v>
          </cell>
          <cell r="O226" t="str">
            <v>Step 2</v>
          </cell>
          <cell r="P226">
            <v>33.783999999999999</v>
          </cell>
        </row>
        <row r="227">
          <cell r="B227">
            <v>999912</v>
          </cell>
          <cell r="C227" t="str">
            <v>0100011</v>
          </cell>
          <cell r="D227" t="str">
            <v>New Hire</v>
          </cell>
          <cell r="E227" t="str">
            <v>DRIVER</v>
          </cell>
          <cell r="F227" t="str">
            <v>Driver</v>
          </cell>
          <cell r="G227" t="str">
            <v>350G</v>
          </cell>
          <cell r="H227" t="str">
            <v>DSP</v>
          </cell>
          <cell r="I227" t="str">
            <v>Driver - Reg.</v>
          </cell>
          <cell r="J227">
            <v>0</v>
          </cell>
          <cell r="K227">
            <v>41275</v>
          </cell>
          <cell r="L227">
            <v>0</v>
          </cell>
          <cell r="M227">
            <v>999912</v>
          </cell>
          <cell r="N227">
            <v>0</v>
          </cell>
          <cell r="O227" t="str">
            <v>Step 2</v>
          </cell>
          <cell r="P227">
            <v>33.783999999999999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2</v>
          </cell>
        </row>
        <row r="306">
          <cell r="B306">
            <v>0</v>
          </cell>
        </row>
        <row r="307">
          <cell r="B307">
            <v>0</v>
          </cell>
        </row>
        <row r="308">
          <cell r="B308">
            <v>0</v>
          </cell>
        </row>
        <row r="309">
          <cell r="B309">
            <v>0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0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>
            <v>0</v>
          </cell>
        </row>
        <row r="325">
          <cell r="B325">
            <v>0</v>
          </cell>
        </row>
        <row r="326">
          <cell r="B326">
            <v>999995</v>
          </cell>
        </row>
        <row r="327">
          <cell r="B327">
            <v>999999</v>
          </cell>
        </row>
        <row r="328">
          <cell r="B328">
            <v>0</v>
          </cell>
        </row>
        <row r="329">
          <cell r="B329">
            <v>0</v>
          </cell>
        </row>
        <row r="330">
          <cell r="B330">
            <v>0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0</v>
          </cell>
        </row>
        <row r="334">
          <cell r="B334">
            <v>0</v>
          </cell>
        </row>
        <row r="335">
          <cell r="B335">
            <v>0</v>
          </cell>
        </row>
        <row r="336">
          <cell r="B336">
            <v>0</v>
          </cell>
        </row>
        <row r="337">
          <cell r="B337">
            <v>8</v>
          </cell>
        </row>
        <row r="338">
          <cell r="B338">
            <v>0</v>
          </cell>
        </row>
        <row r="339">
          <cell r="B339">
            <v>0</v>
          </cell>
        </row>
        <row r="340">
          <cell r="B340">
            <v>0</v>
          </cell>
        </row>
        <row r="341">
          <cell r="B341">
            <v>0</v>
          </cell>
        </row>
        <row r="342">
          <cell r="B342">
            <v>0</v>
          </cell>
        </row>
        <row r="343">
          <cell r="B343">
            <v>0</v>
          </cell>
        </row>
        <row r="344">
          <cell r="B344">
            <v>0</v>
          </cell>
        </row>
        <row r="345">
          <cell r="B345">
            <v>0</v>
          </cell>
        </row>
        <row r="346">
          <cell r="B346">
            <v>0</v>
          </cell>
        </row>
        <row r="347">
          <cell r="B347">
            <v>0</v>
          </cell>
        </row>
        <row r="348">
          <cell r="B348">
            <v>0</v>
          </cell>
        </row>
        <row r="349">
          <cell r="B349">
            <v>0</v>
          </cell>
        </row>
        <row r="350">
          <cell r="B350">
            <v>0</v>
          </cell>
        </row>
        <row r="351">
          <cell r="B351">
            <v>0</v>
          </cell>
        </row>
        <row r="352">
          <cell r="B352">
            <v>0</v>
          </cell>
        </row>
        <row r="353">
          <cell r="B353">
            <v>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0</v>
          </cell>
        </row>
        <row r="496">
          <cell r="B496">
            <v>0</v>
          </cell>
        </row>
        <row r="497">
          <cell r="B497">
            <v>0</v>
          </cell>
        </row>
        <row r="498">
          <cell r="B498">
            <v>0</v>
          </cell>
        </row>
        <row r="499">
          <cell r="B499">
            <v>0</v>
          </cell>
        </row>
        <row r="500">
          <cell r="B500">
            <v>0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</v>
          </cell>
        </row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B545">
            <v>0</v>
          </cell>
        </row>
        <row r="546">
          <cell r="B546">
            <v>0</v>
          </cell>
        </row>
        <row r="547">
          <cell r="B547">
            <v>0</v>
          </cell>
        </row>
        <row r="548">
          <cell r="B548">
            <v>0</v>
          </cell>
        </row>
        <row r="549">
          <cell r="B549">
            <v>0</v>
          </cell>
        </row>
        <row r="550">
          <cell r="B550">
            <v>0</v>
          </cell>
        </row>
        <row r="551">
          <cell r="B551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</sheetData>
      <sheetData sheetId="16">
        <row r="7">
          <cell r="B7">
            <v>20124</v>
          </cell>
        </row>
      </sheetData>
      <sheetData sheetId="17"/>
      <sheetData sheetId="18"/>
      <sheetData sheetId="19">
        <row r="4">
          <cell r="C4">
            <v>0</v>
          </cell>
        </row>
      </sheetData>
      <sheetData sheetId="20"/>
      <sheetData sheetId="21"/>
      <sheetData sheetId="22"/>
      <sheetData sheetId="23">
        <row r="14">
          <cell r="R14">
            <v>32</v>
          </cell>
        </row>
      </sheetData>
      <sheetData sheetId="24"/>
      <sheetData sheetId="25">
        <row r="20">
          <cell r="R20">
            <v>22907502.609999999</v>
          </cell>
        </row>
      </sheetData>
      <sheetData sheetId="26"/>
      <sheetData sheetId="27"/>
      <sheetData sheetId="28"/>
      <sheetData sheetId="29">
        <row r="1">
          <cell r="A1" t="str">
            <v>Go to WS_NAV_n_Check</v>
          </cell>
        </row>
        <row r="2">
          <cell r="A2" t="str">
            <v>BU</v>
          </cell>
          <cell r="B2" t="str">
            <v>Group</v>
          </cell>
        </row>
        <row r="3">
          <cell r="A3" t="str">
            <v xml:space="preserve">0100010 </v>
          </cell>
          <cell r="B3" t="str">
            <v>Rearload Collection</v>
          </cell>
        </row>
        <row r="4">
          <cell r="A4" t="str">
            <v xml:space="preserve">0100011 </v>
          </cell>
          <cell r="B4" t="str">
            <v>City Can Collection</v>
          </cell>
        </row>
        <row r="5">
          <cell r="A5" t="str">
            <v xml:space="preserve">0100012 </v>
          </cell>
          <cell r="B5" t="str">
            <v>Bulky Item Collection</v>
          </cell>
        </row>
        <row r="6">
          <cell r="A6" t="str">
            <v xml:space="preserve">0100014 </v>
          </cell>
          <cell r="B6" t="str">
            <v>Fantastic 3</v>
          </cell>
        </row>
        <row r="7">
          <cell r="A7" t="str">
            <v xml:space="preserve">0100014 </v>
          </cell>
          <cell r="B7" t="str">
            <v>Fantastic 3</v>
          </cell>
        </row>
        <row r="8">
          <cell r="A8" t="str">
            <v xml:space="preserve">0100015 </v>
          </cell>
          <cell r="B8" t="str">
            <v>Fantastic 3 Organics</v>
          </cell>
        </row>
        <row r="9">
          <cell r="A9" t="str">
            <v xml:space="preserve">0100016 </v>
          </cell>
          <cell r="B9" t="str">
            <v>Rearload Collection</v>
          </cell>
        </row>
        <row r="10">
          <cell r="A10" t="str">
            <v xml:space="preserve">0100041 </v>
          </cell>
          <cell r="B10" t="str">
            <v>Frontload Collection</v>
          </cell>
        </row>
        <row r="11">
          <cell r="A11" t="str">
            <v xml:space="preserve">0100050 </v>
          </cell>
          <cell r="B11" t="str">
            <v>Rearload Collection</v>
          </cell>
        </row>
        <row r="12">
          <cell r="A12" t="str">
            <v xml:space="preserve">0100060 </v>
          </cell>
          <cell r="B12" t="str">
            <v>Roll-Off Collection</v>
          </cell>
        </row>
        <row r="13">
          <cell r="A13" t="str">
            <v xml:space="preserve">0100061 </v>
          </cell>
          <cell r="B13" t="str">
            <v>Roll-Off Collection</v>
          </cell>
        </row>
        <row r="14">
          <cell r="A14" t="str">
            <v xml:space="preserve">0100110 </v>
          </cell>
          <cell r="B14" t="str">
            <v>Commercial Organics</v>
          </cell>
        </row>
        <row r="15">
          <cell r="A15" t="str">
            <v xml:space="preserve">0100115 </v>
          </cell>
          <cell r="B15" t="str">
            <v>Commercial Mixed Paper</v>
          </cell>
        </row>
        <row r="16">
          <cell r="A16" t="str">
            <v xml:space="preserve">0100120 </v>
          </cell>
          <cell r="B16" t="str">
            <v>Commercial Recycling</v>
          </cell>
        </row>
        <row r="17">
          <cell r="A17" t="str">
            <v xml:space="preserve">0100131 </v>
          </cell>
          <cell r="B17" t="str">
            <v>Fantastic 3</v>
          </cell>
        </row>
        <row r="18">
          <cell r="A18" t="str">
            <v xml:space="preserve">0100131 </v>
          </cell>
          <cell r="B18" t="str">
            <v>Fantastic 3</v>
          </cell>
        </row>
        <row r="19">
          <cell r="A19" t="str">
            <v xml:space="preserve">0100200 </v>
          </cell>
          <cell r="B19" t="str">
            <v>Rearload Collection</v>
          </cell>
        </row>
        <row r="20">
          <cell r="A20" t="str">
            <v xml:space="preserve">0100300 </v>
          </cell>
          <cell r="B20" t="str">
            <v>Oakland</v>
          </cell>
        </row>
        <row r="21">
          <cell r="A21" t="str">
            <v xml:space="preserve">0100510 </v>
          </cell>
          <cell r="B21" t="str">
            <v>Truck &amp; Garage</v>
          </cell>
        </row>
        <row r="22">
          <cell r="A22" t="str">
            <v xml:space="preserve">0100810 </v>
          </cell>
          <cell r="B22" t="str">
            <v>General &amp; Administrative</v>
          </cell>
        </row>
        <row r="24">
          <cell r="A24" t="str">
            <v>Path: S:\Shared\Sunset\SS_RKL\BP2014_RKL_Wkg\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3">
          <cell r="A3">
            <v>1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GG_SS_OR_RY"/>
      <sheetName val="RSF_OR_RY"/>
      <sheetName val="GGD_OR_RY"/>
      <sheetName val="SSC_OR_RY"/>
      <sheetName val="Consol_Actual"/>
      <sheetName val="Consol_RATE"/>
      <sheetName val="Consol_Actual vs RATE"/>
      <sheetName val="GG_D"/>
      <sheetName val="SS_D"/>
      <sheetName val="GG_SS_D"/>
      <sheetName val="GG_SS_D_Formula"/>
      <sheetName val="RSF_D"/>
      <sheetName val="GGD_Exld_300_D_by_Mon_to_Tie"/>
      <sheetName val="SSC_D_by_Mon_to_Tie"/>
      <sheetName val="RSF_n_RC_D_by_Mon_to_Tie"/>
      <sheetName val="SSC_GGD_RY2014"/>
      <sheetName val="GGD_RY2014"/>
      <sheetName val="GGD_Rate_RY2011"/>
      <sheetName val="GGD_RY_RATE"/>
      <sheetName val="SSC_RY2014"/>
      <sheetName val="SSC_RY_RATE"/>
      <sheetName val="SSC_Rate_RY2011"/>
      <sheetName val="RSF_RY2014_Combined"/>
      <sheetName val="SFRD_RY_RATE"/>
      <sheetName val="RSF_Rate_RY2011"/>
      <sheetName val="RSF_RY2014_Only"/>
      <sheetName val="SCV_RY2014_Only"/>
      <sheetName val="Altamont"/>
      <sheetName val="IC_Labor_SSC"/>
      <sheetName val="IC_Labor_RSF"/>
      <sheetName val="Y_Actual"/>
      <sheetName val="Z_Actual"/>
      <sheetName val="Y_RATE"/>
      <sheetName val="Z_RATE"/>
      <sheetName val="Tracking_List"/>
      <sheetName val="Source_Separated"/>
      <sheetName val="SF_Region_OR_RY"/>
      <sheetName val="Corporate"/>
      <sheetName val="Pension"/>
      <sheetName val="Postretirement"/>
      <sheetName val="Health"/>
      <sheetName val="Workers Comp"/>
      <sheetName val="ALGL"/>
      <sheetName val="Summary_by_Qtr"/>
      <sheetName val="Pension_RY"/>
      <sheetName val="Corp"/>
      <sheetName val="Insurance"/>
      <sheetName val="WC"/>
      <sheetName val="America's_Cup"/>
    </sheetNames>
    <sheetDataSet>
      <sheetData sheetId="0">
        <row r="44">
          <cell r="C44">
            <v>0.1323399999999999</v>
          </cell>
        </row>
        <row r="45">
          <cell r="C45">
            <v>0.15307000000000004</v>
          </cell>
        </row>
        <row r="46">
          <cell r="C46">
            <v>8.9979999999999949E-2</v>
          </cell>
        </row>
        <row r="47">
          <cell r="C47">
            <v>0.11528999999999989</v>
          </cell>
        </row>
        <row r="48">
          <cell r="C48">
            <v>9.3450000000000033E-2</v>
          </cell>
        </row>
        <row r="49">
          <cell r="C49">
            <v>0.13457999999999992</v>
          </cell>
        </row>
        <row r="50">
          <cell r="C50">
            <v>0.1029199999999999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">
          <cell r="E3">
            <v>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GD Summary"/>
      <sheetName val="SSC Summary"/>
      <sheetName val="Sheet1"/>
      <sheetName val="All_OR_RY"/>
      <sheetName val="SSC_OR_RY"/>
      <sheetName val="GGD_OR_RY"/>
      <sheetName val="SFRD_OR_RY"/>
      <sheetName val="RC_OR_RY"/>
      <sheetName val="SF Region - RI"/>
      <sheetName val="SF Region"/>
      <sheetName val="Elimination - RI"/>
      <sheetName val="Elimination"/>
      <sheetName val="SSC Detail"/>
      <sheetName val="WCR"/>
      <sheetName val="WCR Summary"/>
      <sheetName val="SF"/>
      <sheetName val="SFR Summary"/>
      <sheetName val="GGD Detail"/>
      <sheetName val="SFR Detail"/>
      <sheetName val="RC Detail"/>
      <sheetName val="WCR Detail"/>
      <sheetName val="Projection Factors - SSC"/>
      <sheetName val="Projection Factors - GGD"/>
      <sheetName val="Projection Factors - SFR&amp;D"/>
      <sheetName val="Projection Factors - RC"/>
      <sheetName val="All-FY05_Plan"/>
      <sheetName val="Projection Factors - WCR"/>
      <sheetName val="GGD_Summary Cap. Expense"/>
      <sheetName val="SSC_Summary Cap. Expense"/>
      <sheetName val="GGD Other Expenses"/>
      <sheetName val="SSC Other Expenses"/>
      <sheetName val="Operational Capital"/>
      <sheetName val="gg_bp2005i_0902"/>
      <sheetName val="ss_y_0908"/>
      <sheetName val="gg_bp2005j_0902"/>
      <sheetName val="ss_z_0908"/>
      <sheetName val="rc_z_0914"/>
      <sheetName val="rc_y_0914"/>
      <sheetName val="gg_rc_y_0914"/>
      <sheetName val="gg_rc_z_0914"/>
      <sheetName val="gg_sfrd_y_0914"/>
      <sheetName val="gg_sfrd_z_0914"/>
      <sheetName val="gg_bp2005j_908"/>
      <sheetName val="gg_bp2005i_908"/>
      <sheetName val="sfrd_y_0914"/>
      <sheetName val="sfrd_z_09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191"/>
  <sheetViews>
    <sheetView tabSelected="1" zoomScaleNormal="100" workbookViewId="0">
      <selection sqref="A1:B1"/>
    </sheetView>
  </sheetViews>
  <sheetFormatPr defaultRowHeight="12.75" x14ac:dyDescent="0.2"/>
  <cols>
    <col min="1" max="1" width="70.7109375" customWidth="1"/>
    <col min="2" max="2" width="13" style="14" customWidth="1"/>
    <col min="257" max="257" width="70.7109375" customWidth="1"/>
    <col min="258" max="258" width="13" customWidth="1"/>
    <col min="513" max="513" width="70.7109375" customWidth="1"/>
    <col min="514" max="514" width="13" customWidth="1"/>
    <col min="769" max="769" width="70.7109375" customWidth="1"/>
    <col min="770" max="770" width="13" customWidth="1"/>
    <col min="1025" max="1025" width="70.7109375" customWidth="1"/>
    <col min="1026" max="1026" width="13" customWidth="1"/>
    <col min="1281" max="1281" width="70.7109375" customWidth="1"/>
    <col min="1282" max="1282" width="13" customWidth="1"/>
    <col min="1537" max="1537" width="70.7109375" customWidth="1"/>
    <col min="1538" max="1538" width="13" customWidth="1"/>
    <col min="1793" max="1793" width="70.7109375" customWidth="1"/>
    <col min="1794" max="1794" width="13" customWidth="1"/>
    <col min="2049" max="2049" width="70.7109375" customWidth="1"/>
    <col min="2050" max="2050" width="13" customWidth="1"/>
    <col min="2305" max="2305" width="70.7109375" customWidth="1"/>
    <col min="2306" max="2306" width="13" customWidth="1"/>
    <col min="2561" max="2561" width="70.7109375" customWidth="1"/>
    <col min="2562" max="2562" width="13" customWidth="1"/>
    <col min="2817" max="2817" width="70.7109375" customWidth="1"/>
    <col min="2818" max="2818" width="13" customWidth="1"/>
    <col min="3073" max="3073" width="70.7109375" customWidth="1"/>
    <col min="3074" max="3074" width="13" customWidth="1"/>
    <col min="3329" max="3329" width="70.7109375" customWidth="1"/>
    <col min="3330" max="3330" width="13" customWidth="1"/>
    <col min="3585" max="3585" width="70.7109375" customWidth="1"/>
    <col min="3586" max="3586" width="13" customWidth="1"/>
    <col min="3841" max="3841" width="70.7109375" customWidth="1"/>
    <col min="3842" max="3842" width="13" customWidth="1"/>
    <col min="4097" max="4097" width="70.7109375" customWidth="1"/>
    <col min="4098" max="4098" width="13" customWidth="1"/>
    <col min="4353" max="4353" width="70.7109375" customWidth="1"/>
    <col min="4354" max="4354" width="13" customWidth="1"/>
    <col min="4609" max="4609" width="70.7109375" customWidth="1"/>
    <col min="4610" max="4610" width="13" customWidth="1"/>
    <col min="4865" max="4865" width="70.7109375" customWidth="1"/>
    <col min="4866" max="4866" width="13" customWidth="1"/>
    <col min="5121" max="5121" width="70.7109375" customWidth="1"/>
    <col min="5122" max="5122" width="13" customWidth="1"/>
    <col min="5377" max="5377" width="70.7109375" customWidth="1"/>
    <col min="5378" max="5378" width="13" customWidth="1"/>
    <col min="5633" max="5633" width="70.7109375" customWidth="1"/>
    <col min="5634" max="5634" width="13" customWidth="1"/>
    <col min="5889" max="5889" width="70.7109375" customWidth="1"/>
    <col min="5890" max="5890" width="13" customWidth="1"/>
    <col min="6145" max="6145" width="70.7109375" customWidth="1"/>
    <col min="6146" max="6146" width="13" customWidth="1"/>
    <col min="6401" max="6401" width="70.7109375" customWidth="1"/>
    <col min="6402" max="6402" width="13" customWidth="1"/>
    <col min="6657" max="6657" width="70.7109375" customWidth="1"/>
    <col min="6658" max="6658" width="13" customWidth="1"/>
    <col min="6913" max="6913" width="70.7109375" customWidth="1"/>
    <col min="6914" max="6914" width="13" customWidth="1"/>
    <col min="7169" max="7169" width="70.7109375" customWidth="1"/>
    <col min="7170" max="7170" width="13" customWidth="1"/>
    <col min="7425" max="7425" width="70.7109375" customWidth="1"/>
    <col min="7426" max="7426" width="13" customWidth="1"/>
    <col min="7681" max="7681" width="70.7109375" customWidth="1"/>
    <col min="7682" max="7682" width="13" customWidth="1"/>
    <col min="7937" max="7937" width="70.7109375" customWidth="1"/>
    <col min="7938" max="7938" width="13" customWidth="1"/>
    <col min="8193" max="8193" width="70.7109375" customWidth="1"/>
    <col min="8194" max="8194" width="13" customWidth="1"/>
    <col min="8449" max="8449" width="70.7109375" customWidth="1"/>
    <col min="8450" max="8450" width="13" customWidth="1"/>
    <col min="8705" max="8705" width="70.7109375" customWidth="1"/>
    <col min="8706" max="8706" width="13" customWidth="1"/>
    <col min="8961" max="8961" width="70.7109375" customWidth="1"/>
    <col min="8962" max="8962" width="13" customWidth="1"/>
    <col min="9217" max="9217" width="70.7109375" customWidth="1"/>
    <col min="9218" max="9218" width="13" customWidth="1"/>
    <col min="9473" max="9473" width="70.7109375" customWidth="1"/>
    <col min="9474" max="9474" width="13" customWidth="1"/>
    <col min="9729" max="9729" width="70.7109375" customWidth="1"/>
    <col min="9730" max="9730" width="13" customWidth="1"/>
    <col min="9985" max="9985" width="70.7109375" customWidth="1"/>
    <col min="9986" max="9986" width="13" customWidth="1"/>
    <col min="10241" max="10241" width="70.7109375" customWidth="1"/>
    <col min="10242" max="10242" width="13" customWidth="1"/>
    <col min="10497" max="10497" width="70.7109375" customWidth="1"/>
    <col min="10498" max="10498" width="13" customWidth="1"/>
    <col min="10753" max="10753" width="70.7109375" customWidth="1"/>
    <col min="10754" max="10754" width="13" customWidth="1"/>
    <col min="11009" max="11009" width="70.7109375" customWidth="1"/>
    <col min="11010" max="11010" width="13" customWidth="1"/>
    <col min="11265" max="11265" width="70.7109375" customWidth="1"/>
    <col min="11266" max="11266" width="13" customWidth="1"/>
    <col min="11521" max="11521" width="70.7109375" customWidth="1"/>
    <col min="11522" max="11522" width="13" customWidth="1"/>
    <col min="11777" max="11777" width="70.7109375" customWidth="1"/>
    <col min="11778" max="11778" width="13" customWidth="1"/>
    <col min="12033" max="12033" width="70.7109375" customWidth="1"/>
    <col min="12034" max="12034" width="13" customWidth="1"/>
    <col min="12289" max="12289" width="70.7109375" customWidth="1"/>
    <col min="12290" max="12290" width="13" customWidth="1"/>
    <col min="12545" max="12545" width="70.7109375" customWidth="1"/>
    <col min="12546" max="12546" width="13" customWidth="1"/>
    <col min="12801" max="12801" width="70.7109375" customWidth="1"/>
    <col min="12802" max="12802" width="13" customWidth="1"/>
    <col min="13057" max="13057" width="70.7109375" customWidth="1"/>
    <col min="13058" max="13058" width="13" customWidth="1"/>
    <col min="13313" max="13313" width="70.7109375" customWidth="1"/>
    <col min="13314" max="13314" width="13" customWidth="1"/>
    <col min="13569" max="13569" width="70.7109375" customWidth="1"/>
    <col min="13570" max="13570" width="13" customWidth="1"/>
    <col min="13825" max="13825" width="70.7109375" customWidth="1"/>
    <col min="13826" max="13826" width="13" customWidth="1"/>
    <col min="14081" max="14081" width="70.7109375" customWidth="1"/>
    <col min="14082" max="14082" width="13" customWidth="1"/>
    <col min="14337" max="14337" width="70.7109375" customWidth="1"/>
    <col min="14338" max="14338" width="13" customWidth="1"/>
    <col min="14593" max="14593" width="70.7109375" customWidth="1"/>
    <col min="14594" max="14594" width="13" customWidth="1"/>
    <col min="14849" max="14849" width="70.7109375" customWidth="1"/>
    <col min="14850" max="14850" width="13" customWidth="1"/>
    <col min="15105" max="15105" width="70.7109375" customWidth="1"/>
    <col min="15106" max="15106" width="13" customWidth="1"/>
    <col min="15361" max="15361" width="70.7109375" customWidth="1"/>
    <col min="15362" max="15362" width="13" customWidth="1"/>
    <col min="15617" max="15617" width="70.7109375" customWidth="1"/>
    <col min="15618" max="15618" width="13" customWidth="1"/>
    <col min="15873" max="15873" width="70.7109375" customWidth="1"/>
    <col min="15874" max="15874" width="13" customWidth="1"/>
    <col min="16129" max="16129" width="70.7109375" customWidth="1"/>
    <col min="16130" max="16130" width="13" customWidth="1"/>
  </cols>
  <sheetData>
    <row r="1" spans="1:3" ht="18" x14ac:dyDescent="0.25">
      <c r="A1" s="1488" t="s">
        <v>0</v>
      </c>
      <c r="B1" s="1489"/>
    </row>
    <row r="2" spans="1:3" ht="18" x14ac:dyDescent="0.25">
      <c r="A2" s="1488" t="s">
        <v>1</v>
      </c>
      <c r="B2" s="1489"/>
    </row>
    <row r="3" spans="1:3" ht="15.75" x14ac:dyDescent="0.25">
      <c r="A3" s="1"/>
      <c r="B3" s="2"/>
    </row>
    <row r="5" spans="1:3" ht="15" x14ac:dyDescent="0.2">
      <c r="A5" s="3"/>
      <c r="B5" s="4"/>
      <c r="C5" s="3"/>
    </row>
    <row r="6" spans="1:3" ht="15.75" x14ac:dyDescent="0.25">
      <c r="A6" s="5" t="s">
        <v>2</v>
      </c>
      <c r="B6" s="5" t="s">
        <v>3</v>
      </c>
      <c r="C6" s="3"/>
    </row>
    <row r="7" spans="1:3" ht="21.75" customHeight="1" x14ac:dyDescent="0.2">
      <c r="A7" s="6" t="s">
        <v>4</v>
      </c>
      <c r="B7" s="7" t="s">
        <v>5</v>
      </c>
      <c r="C7" s="3"/>
    </row>
    <row r="8" spans="1:3" ht="15" x14ac:dyDescent="0.2">
      <c r="A8" s="8" t="s">
        <v>6</v>
      </c>
      <c r="B8" s="7" t="s">
        <v>7</v>
      </c>
      <c r="C8" s="3"/>
    </row>
    <row r="9" spans="1:3" ht="15" x14ac:dyDescent="0.2">
      <c r="A9" s="8" t="s">
        <v>8</v>
      </c>
      <c r="B9" s="7" t="s">
        <v>9</v>
      </c>
      <c r="C9" s="3"/>
    </row>
    <row r="10" spans="1:3" ht="15" x14ac:dyDescent="0.2">
      <c r="A10" s="9" t="s">
        <v>10</v>
      </c>
      <c r="B10" s="10" t="s">
        <v>11</v>
      </c>
      <c r="C10" s="3"/>
    </row>
    <row r="11" spans="1:3" ht="15" x14ac:dyDescent="0.2">
      <c r="A11" s="9" t="s">
        <v>12</v>
      </c>
      <c r="B11" s="7" t="s">
        <v>13</v>
      </c>
      <c r="C11" s="3"/>
    </row>
    <row r="12" spans="1:3" ht="15" x14ac:dyDescent="0.2">
      <c r="A12" s="11" t="s">
        <v>14</v>
      </c>
      <c r="B12" s="7" t="s">
        <v>15</v>
      </c>
      <c r="C12" s="3"/>
    </row>
    <row r="13" spans="1:3" ht="15" x14ac:dyDescent="0.2">
      <c r="A13" s="8" t="s">
        <v>16</v>
      </c>
      <c r="B13" s="7" t="s">
        <v>17</v>
      </c>
      <c r="C13" s="3"/>
    </row>
    <row r="14" spans="1:3" ht="15" x14ac:dyDescent="0.2">
      <c r="A14" s="8" t="s">
        <v>18</v>
      </c>
      <c r="B14" s="7" t="s">
        <v>19</v>
      </c>
      <c r="C14" s="3"/>
    </row>
    <row r="15" spans="1:3" ht="15" x14ac:dyDescent="0.2">
      <c r="A15" s="8" t="s">
        <v>20</v>
      </c>
      <c r="B15" s="7" t="s">
        <v>21</v>
      </c>
      <c r="C15" s="3"/>
    </row>
    <row r="16" spans="1:3" ht="15" x14ac:dyDescent="0.2">
      <c r="A16" s="8" t="s">
        <v>22</v>
      </c>
      <c r="B16" s="7" t="s">
        <v>23</v>
      </c>
      <c r="C16" s="3"/>
    </row>
    <row r="17" spans="1:3" ht="15" x14ac:dyDescent="0.2">
      <c r="A17" s="8" t="s">
        <v>24</v>
      </c>
      <c r="B17" s="7" t="s">
        <v>25</v>
      </c>
      <c r="C17" s="3"/>
    </row>
    <row r="18" spans="1:3" ht="15" x14ac:dyDescent="0.2">
      <c r="A18" s="8" t="s">
        <v>26</v>
      </c>
      <c r="B18" s="7" t="s">
        <v>27</v>
      </c>
      <c r="C18" s="3"/>
    </row>
    <row r="19" spans="1:3" ht="15" x14ac:dyDescent="0.2">
      <c r="A19" s="8" t="s">
        <v>28</v>
      </c>
      <c r="B19" s="7" t="s">
        <v>29</v>
      </c>
      <c r="C19" s="3"/>
    </row>
    <row r="20" spans="1:3" ht="15" x14ac:dyDescent="0.2">
      <c r="A20" s="8" t="s">
        <v>30</v>
      </c>
      <c r="B20" s="7" t="s">
        <v>31</v>
      </c>
      <c r="C20" s="3"/>
    </row>
    <row r="21" spans="1:3" ht="15" x14ac:dyDescent="0.2">
      <c r="A21" s="8" t="s">
        <v>32</v>
      </c>
      <c r="B21" s="7" t="s">
        <v>33</v>
      </c>
      <c r="C21" s="3"/>
    </row>
    <row r="22" spans="1:3" ht="15" x14ac:dyDescent="0.2">
      <c r="A22" s="8" t="s">
        <v>34</v>
      </c>
      <c r="B22" s="7" t="s">
        <v>35</v>
      </c>
      <c r="C22" s="3"/>
    </row>
    <row r="23" spans="1:3" ht="15" x14ac:dyDescent="0.2">
      <c r="A23" s="8" t="s">
        <v>36</v>
      </c>
      <c r="B23" s="7" t="s">
        <v>37</v>
      </c>
      <c r="C23" s="3"/>
    </row>
    <row r="24" spans="1:3" ht="15" x14ac:dyDescent="0.2">
      <c r="A24" s="11" t="s">
        <v>38</v>
      </c>
      <c r="B24" s="7" t="s">
        <v>39</v>
      </c>
      <c r="C24" s="3"/>
    </row>
    <row r="25" spans="1:3" ht="15" x14ac:dyDescent="0.2">
      <c r="A25" s="9" t="s">
        <v>40</v>
      </c>
      <c r="B25" s="7" t="s">
        <v>41</v>
      </c>
      <c r="C25" s="3"/>
    </row>
    <row r="26" spans="1:3" ht="15" x14ac:dyDescent="0.2">
      <c r="A26" s="9" t="s">
        <v>42</v>
      </c>
      <c r="B26" s="7" t="s">
        <v>43</v>
      </c>
      <c r="C26" s="3"/>
    </row>
    <row r="27" spans="1:3" ht="15" x14ac:dyDescent="0.2">
      <c r="A27" s="8" t="s">
        <v>44</v>
      </c>
      <c r="B27" s="7" t="s">
        <v>45</v>
      </c>
      <c r="C27" s="3"/>
    </row>
    <row r="28" spans="1:3" ht="15" x14ac:dyDescent="0.2">
      <c r="A28" s="8" t="s">
        <v>46</v>
      </c>
      <c r="B28" s="7" t="s">
        <v>47</v>
      </c>
      <c r="C28" s="3"/>
    </row>
    <row r="29" spans="1:3" ht="15" x14ac:dyDescent="0.2">
      <c r="A29" s="8" t="s">
        <v>48</v>
      </c>
      <c r="B29" s="7" t="s">
        <v>49</v>
      </c>
      <c r="C29" s="3"/>
    </row>
    <row r="30" spans="1:3" ht="15" x14ac:dyDescent="0.2">
      <c r="A30" s="8" t="s">
        <v>50</v>
      </c>
      <c r="B30" s="7" t="s">
        <v>51</v>
      </c>
      <c r="C30" s="3"/>
    </row>
    <row r="31" spans="1:3" ht="15" x14ac:dyDescent="0.2">
      <c r="A31" s="8" t="s">
        <v>52</v>
      </c>
      <c r="B31" s="7" t="s">
        <v>53</v>
      </c>
      <c r="C31" s="3"/>
    </row>
    <row r="32" spans="1:3" ht="15" x14ac:dyDescent="0.2">
      <c r="A32" s="8" t="s">
        <v>54</v>
      </c>
      <c r="B32" s="7" t="s">
        <v>55</v>
      </c>
      <c r="C32" s="3"/>
    </row>
    <row r="33" spans="1:3" ht="15" x14ac:dyDescent="0.2">
      <c r="A33" s="8" t="s">
        <v>56</v>
      </c>
      <c r="B33" s="7" t="s">
        <v>57</v>
      </c>
      <c r="C33" s="3"/>
    </row>
    <row r="34" spans="1:3" ht="15" x14ac:dyDescent="0.2">
      <c r="A34" s="8" t="s">
        <v>58</v>
      </c>
      <c r="B34" s="7" t="s">
        <v>59</v>
      </c>
      <c r="C34" s="3"/>
    </row>
    <row r="35" spans="1:3" ht="15" x14ac:dyDescent="0.2">
      <c r="A35" s="8" t="s">
        <v>60</v>
      </c>
      <c r="B35" s="7" t="s">
        <v>61</v>
      </c>
      <c r="C35" s="3"/>
    </row>
    <row r="36" spans="1:3" ht="15" x14ac:dyDescent="0.2">
      <c r="A36" s="8" t="s">
        <v>62</v>
      </c>
      <c r="B36" s="7" t="s">
        <v>63</v>
      </c>
      <c r="C36" s="3"/>
    </row>
    <row r="37" spans="1:3" ht="15" x14ac:dyDescent="0.2">
      <c r="A37" s="11" t="s">
        <v>64</v>
      </c>
      <c r="B37" s="10" t="s">
        <v>65</v>
      </c>
      <c r="C37" s="3"/>
    </row>
    <row r="38" spans="1:3" ht="15" x14ac:dyDescent="0.2">
      <c r="A38" s="11" t="s">
        <v>66</v>
      </c>
      <c r="B38" s="10" t="s">
        <v>67</v>
      </c>
      <c r="C38" s="3"/>
    </row>
    <row r="39" spans="1:3" ht="15" x14ac:dyDescent="0.2">
      <c r="A39" s="12"/>
      <c r="B39" s="13"/>
      <c r="C39" s="3"/>
    </row>
    <row r="40" spans="1:3" ht="15" x14ac:dyDescent="0.2">
      <c r="A40" s="12"/>
      <c r="B40" s="13"/>
      <c r="C40" s="3"/>
    </row>
    <row r="41" spans="1:3" ht="15" x14ac:dyDescent="0.2">
      <c r="A41" s="12"/>
      <c r="B41" s="13"/>
      <c r="C41" s="3"/>
    </row>
    <row r="42" spans="1:3" ht="15" x14ac:dyDescent="0.2">
      <c r="A42" s="12"/>
      <c r="B42" s="13"/>
      <c r="C42" s="3"/>
    </row>
    <row r="43" spans="1:3" ht="15" x14ac:dyDescent="0.2">
      <c r="A43" s="12"/>
      <c r="B43" s="13"/>
      <c r="C43" s="3"/>
    </row>
    <row r="44" spans="1:3" ht="15" x14ac:dyDescent="0.2">
      <c r="A44" s="12"/>
      <c r="B44" s="13"/>
      <c r="C44" s="3"/>
    </row>
    <row r="45" spans="1:3" ht="15" x14ac:dyDescent="0.2">
      <c r="A45" s="12"/>
      <c r="B45" s="13"/>
      <c r="C45" s="3"/>
    </row>
    <row r="46" spans="1:3" ht="15" x14ac:dyDescent="0.2">
      <c r="A46" s="12"/>
      <c r="B46" s="13"/>
      <c r="C46" s="3"/>
    </row>
    <row r="47" spans="1:3" ht="15" x14ac:dyDescent="0.2">
      <c r="A47" s="12"/>
      <c r="B47" s="13"/>
      <c r="C47" s="3"/>
    </row>
    <row r="48" spans="1:3" ht="15" x14ac:dyDescent="0.2">
      <c r="A48" s="12"/>
      <c r="B48" s="13"/>
      <c r="C48" s="3"/>
    </row>
    <row r="49" spans="1:3" ht="15" x14ac:dyDescent="0.2">
      <c r="A49" s="12"/>
      <c r="B49" s="13"/>
      <c r="C49" s="3"/>
    </row>
    <row r="50" spans="1:3" ht="15" x14ac:dyDescent="0.2">
      <c r="A50" s="3"/>
      <c r="B50" s="4"/>
      <c r="C50" s="3"/>
    </row>
    <row r="51" spans="1:3" ht="15" x14ac:dyDescent="0.2">
      <c r="A51" s="3"/>
      <c r="B51" s="4"/>
      <c r="C51" s="3"/>
    </row>
    <row r="52" spans="1:3" ht="15" x14ac:dyDescent="0.2">
      <c r="A52" s="3"/>
      <c r="B52" s="4"/>
      <c r="C52" s="3"/>
    </row>
    <row r="53" spans="1:3" ht="15" x14ac:dyDescent="0.2">
      <c r="A53" s="3"/>
      <c r="B53" s="4"/>
      <c r="C53" s="3"/>
    </row>
    <row r="54" spans="1:3" ht="15" x14ac:dyDescent="0.2">
      <c r="A54" s="3"/>
      <c r="B54" s="4"/>
      <c r="C54" s="3"/>
    </row>
    <row r="55" spans="1:3" ht="15" x14ac:dyDescent="0.2">
      <c r="A55" s="3"/>
      <c r="B55" s="4"/>
      <c r="C55" s="3"/>
    </row>
    <row r="56" spans="1:3" ht="15" x14ac:dyDescent="0.2">
      <c r="A56" s="3"/>
      <c r="B56" s="4"/>
      <c r="C56" s="3"/>
    </row>
    <row r="57" spans="1:3" ht="15" x14ac:dyDescent="0.2">
      <c r="A57" s="3"/>
      <c r="B57" s="4"/>
      <c r="C57" s="3"/>
    </row>
    <row r="58" spans="1:3" ht="15" x14ac:dyDescent="0.2">
      <c r="A58" s="3"/>
      <c r="B58" s="4"/>
      <c r="C58" s="3"/>
    </row>
    <row r="59" spans="1:3" ht="15" x14ac:dyDescent="0.2">
      <c r="A59" s="3"/>
      <c r="B59" s="4"/>
      <c r="C59" s="3"/>
    </row>
    <row r="60" spans="1:3" ht="15" x14ac:dyDescent="0.2">
      <c r="A60" s="3"/>
      <c r="B60" s="4"/>
      <c r="C60" s="3"/>
    </row>
    <row r="61" spans="1:3" ht="15" x14ac:dyDescent="0.2">
      <c r="A61" s="3"/>
      <c r="B61" s="4"/>
      <c r="C61" s="3"/>
    </row>
    <row r="62" spans="1:3" ht="15" x14ac:dyDescent="0.2">
      <c r="A62" s="3"/>
      <c r="B62" s="4"/>
      <c r="C62" s="3"/>
    </row>
    <row r="63" spans="1:3" ht="15" x14ac:dyDescent="0.2">
      <c r="A63" s="3"/>
      <c r="B63" s="4"/>
      <c r="C63" s="3"/>
    </row>
    <row r="64" spans="1:3" ht="15" x14ac:dyDescent="0.2">
      <c r="A64" s="3"/>
      <c r="B64" s="4"/>
      <c r="C64" s="3"/>
    </row>
    <row r="65" spans="1:3" ht="15" x14ac:dyDescent="0.2">
      <c r="A65" s="3"/>
      <c r="B65" s="4"/>
      <c r="C65" s="3"/>
    </row>
    <row r="66" spans="1:3" ht="15" x14ac:dyDescent="0.2">
      <c r="A66" s="3"/>
      <c r="B66" s="4"/>
      <c r="C66" s="3"/>
    </row>
    <row r="67" spans="1:3" ht="15" x14ac:dyDescent="0.2">
      <c r="A67" s="3"/>
      <c r="B67" s="4"/>
      <c r="C67" s="3"/>
    </row>
    <row r="68" spans="1:3" ht="15" x14ac:dyDescent="0.2">
      <c r="A68" s="3"/>
      <c r="B68" s="4"/>
      <c r="C68" s="3"/>
    </row>
    <row r="69" spans="1:3" ht="15" x14ac:dyDescent="0.2">
      <c r="A69" s="3"/>
      <c r="B69" s="4"/>
      <c r="C69" s="3"/>
    </row>
    <row r="70" spans="1:3" ht="15" x14ac:dyDescent="0.2">
      <c r="A70" s="3"/>
      <c r="B70" s="4"/>
      <c r="C70" s="3"/>
    </row>
    <row r="71" spans="1:3" ht="15" x14ac:dyDescent="0.2">
      <c r="A71" s="3"/>
      <c r="B71" s="4"/>
      <c r="C71" s="3"/>
    </row>
    <row r="72" spans="1:3" ht="15" x14ac:dyDescent="0.2">
      <c r="A72" s="3"/>
      <c r="B72" s="4"/>
      <c r="C72" s="3"/>
    </row>
    <row r="73" spans="1:3" ht="15" x14ac:dyDescent="0.2">
      <c r="A73" s="3"/>
      <c r="B73" s="4"/>
      <c r="C73" s="3"/>
    </row>
    <row r="74" spans="1:3" ht="15" x14ac:dyDescent="0.2">
      <c r="A74" s="3"/>
      <c r="B74" s="4"/>
      <c r="C74" s="3"/>
    </row>
    <row r="75" spans="1:3" ht="15" x14ac:dyDescent="0.2">
      <c r="A75" s="3"/>
      <c r="B75" s="4"/>
      <c r="C75" s="3"/>
    </row>
    <row r="76" spans="1:3" ht="15" x14ac:dyDescent="0.2">
      <c r="A76" s="3"/>
      <c r="B76" s="4"/>
      <c r="C76" s="3"/>
    </row>
    <row r="77" spans="1:3" ht="15" x14ac:dyDescent="0.2">
      <c r="A77" s="3"/>
      <c r="B77" s="4"/>
      <c r="C77" s="3"/>
    </row>
    <row r="78" spans="1:3" ht="15" x14ac:dyDescent="0.2">
      <c r="A78" s="3"/>
      <c r="B78" s="4"/>
      <c r="C78" s="3"/>
    </row>
    <row r="79" spans="1:3" ht="15" x14ac:dyDescent="0.2">
      <c r="A79" s="3"/>
      <c r="B79" s="4"/>
      <c r="C79" s="3"/>
    </row>
    <row r="80" spans="1:3" ht="15" x14ac:dyDescent="0.2">
      <c r="A80" s="3"/>
      <c r="B80" s="4"/>
      <c r="C80" s="3"/>
    </row>
    <row r="81" spans="1:3" ht="15" x14ac:dyDescent="0.2">
      <c r="A81" s="3"/>
      <c r="B81" s="4"/>
      <c r="C81" s="3"/>
    </row>
    <row r="82" spans="1:3" ht="15" x14ac:dyDescent="0.2">
      <c r="A82" s="3"/>
      <c r="B82" s="4"/>
      <c r="C82" s="3"/>
    </row>
    <row r="83" spans="1:3" ht="15" x14ac:dyDescent="0.2">
      <c r="A83" s="3"/>
      <c r="B83" s="4"/>
      <c r="C83" s="3"/>
    </row>
    <row r="84" spans="1:3" ht="15" x14ac:dyDescent="0.2">
      <c r="A84" s="3"/>
      <c r="B84" s="4"/>
      <c r="C84" s="3"/>
    </row>
    <row r="85" spans="1:3" ht="15" x14ac:dyDescent="0.2">
      <c r="A85" s="3"/>
      <c r="B85" s="4"/>
      <c r="C85" s="3"/>
    </row>
    <row r="86" spans="1:3" ht="15" x14ac:dyDescent="0.2">
      <c r="A86" s="3"/>
      <c r="B86" s="4"/>
      <c r="C86" s="3"/>
    </row>
    <row r="87" spans="1:3" ht="15" x14ac:dyDescent="0.2">
      <c r="A87" s="3"/>
      <c r="B87" s="4"/>
      <c r="C87" s="3"/>
    </row>
    <row r="88" spans="1:3" ht="15" x14ac:dyDescent="0.2">
      <c r="A88" s="3"/>
      <c r="B88" s="4"/>
      <c r="C88" s="3"/>
    </row>
    <row r="89" spans="1:3" ht="15" x14ac:dyDescent="0.2">
      <c r="A89" s="3"/>
      <c r="B89" s="4"/>
      <c r="C89" s="3"/>
    </row>
    <row r="90" spans="1:3" ht="15" x14ac:dyDescent="0.2">
      <c r="A90" s="3"/>
      <c r="B90" s="4"/>
      <c r="C90" s="3"/>
    </row>
    <row r="91" spans="1:3" ht="15" x14ac:dyDescent="0.2">
      <c r="A91" s="3"/>
      <c r="B91" s="4"/>
      <c r="C91" s="3"/>
    </row>
    <row r="92" spans="1:3" ht="15" x14ac:dyDescent="0.2">
      <c r="A92" s="3"/>
      <c r="B92" s="4"/>
      <c r="C92" s="3"/>
    </row>
    <row r="93" spans="1:3" ht="15" x14ac:dyDescent="0.2">
      <c r="A93" s="3"/>
      <c r="B93" s="4"/>
      <c r="C93" s="3"/>
    </row>
    <row r="94" spans="1:3" ht="15" x14ac:dyDescent="0.2">
      <c r="A94" s="3"/>
      <c r="B94" s="4"/>
      <c r="C94" s="3"/>
    </row>
    <row r="95" spans="1:3" ht="15" x14ac:dyDescent="0.2">
      <c r="A95" s="3"/>
      <c r="B95" s="4"/>
      <c r="C95" s="3"/>
    </row>
    <row r="96" spans="1:3" ht="15" x14ac:dyDescent="0.2">
      <c r="A96" s="3"/>
      <c r="B96" s="4"/>
      <c r="C96" s="3"/>
    </row>
    <row r="97" spans="1:3" ht="15" x14ac:dyDescent="0.2">
      <c r="A97" s="3"/>
      <c r="B97" s="4"/>
      <c r="C97" s="3"/>
    </row>
    <row r="98" spans="1:3" ht="15" x14ac:dyDescent="0.2">
      <c r="A98" s="3"/>
      <c r="B98" s="4"/>
      <c r="C98" s="3"/>
    </row>
    <row r="99" spans="1:3" ht="15" x14ac:dyDescent="0.2">
      <c r="A99" s="3"/>
      <c r="B99" s="4"/>
      <c r="C99" s="3"/>
    </row>
    <row r="100" spans="1:3" ht="15" x14ac:dyDescent="0.2">
      <c r="A100" s="3"/>
      <c r="B100" s="4"/>
      <c r="C100" s="3"/>
    </row>
    <row r="101" spans="1:3" ht="15" x14ac:dyDescent="0.2">
      <c r="A101" s="3"/>
      <c r="B101" s="4"/>
      <c r="C101" s="3"/>
    </row>
    <row r="102" spans="1:3" ht="15" x14ac:dyDescent="0.2">
      <c r="A102" s="3"/>
      <c r="B102" s="4"/>
      <c r="C102" s="3"/>
    </row>
    <row r="103" spans="1:3" ht="15" x14ac:dyDescent="0.2">
      <c r="A103" s="3"/>
      <c r="B103" s="4"/>
      <c r="C103" s="3"/>
    </row>
    <row r="104" spans="1:3" ht="15" x14ac:dyDescent="0.2">
      <c r="A104" s="3"/>
      <c r="B104" s="4"/>
      <c r="C104" s="3"/>
    </row>
    <row r="105" spans="1:3" ht="15" x14ac:dyDescent="0.2">
      <c r="A105" s="3"/>
      <c r="B105" s="4"/>
      <c r="C105" s="3"/>
    </row>
    <row r="106" spans="1:3" ht="15" x14ac:dyDescent="0.2">
      <c r="A106" s="3"/>
      <c r="B106" s="4"/>
      <c r="C106" s="3"/>
    </row>
    <row r="107" spans="1:3" ht="15" x14ac:dyDescent="0.2">
      <c r="A107" s="3"/>
      <c r="B107" s="4"/>
      <c r="C107" s="3"/>
    </row>
    <row r="108" spans="1:3" ht="15" x14ac:dyDescent="0.2">
      <c r="A108" s="3"/>
      <c r="B108" s="4"/>
      <c r="C108" s="3"/>
    </row>
    <row r="109" spans="1:3" ht="15" x14ac:dyDescent="0.2">
      <c r="A109" s="3"/>
      <c r="B109" s="4"/>
      <c r="C109" s="3"/>
    </row>
    <row r="110" spans="1:3" ht="15" x14ac:dyDescent="0.2">
      <c r="A110" s="3"/>
      <c r="B110" s="4"/>
      <c r="C110" s="3"/>
    </row>
    <row r="111" spans="1:3" ht="15" x14ac:dyDescent="0.2">
      <c r="A111" s="3"/>
      <c r="B111" s="4"/>
      <c r="C111" s="3"/>
    </row>
    <row r="112" spans="1:3" ht="15" x14ac:dyDescent="0.2">
      <c r="A112" s="3"/>
      <c r="B112" s="4"/>
      <c r="C112" s="3"/>
    </row>
    <row r="113" spans="1:3" ht="15" x14ac:dyDescent="0.2">
      <c r="A113" s="3"/>
      <c r="B113" s="4"/>
      <c r="C113" s="3"/>
    </row>
    <row r="114" spans="1:3" ht="15" x14ac:dyDescent="0.2">
      <c r="A114" s="3"/>
      <c r="B114" s="4"/>
      <c r="C114" s="3"/>
    </row>
    <row r="115" spans="1:3" ht="15" x14ac:dyDescent="0.2">
      <c r="A115" s="3"/>
      <c r="B115" s="4"/>
      <c r="C115" s="3"/>
    </row>
    <row r="116" spans="1:3" ht="15" x14ac:dyDescent="0.2">
      <c r="A116" s="3"/>
      <c r="B116" s="4"/>
      <c r="C116" s="3"/>
    </row>
    <row r="117" spans="1:3" ht="15" x14ac:dyDescent="0.2">
      <c r="A117" s="3"/>
      <c r="B117" s="4"/>
      <c r="C117" s="3"/>
    </row>
    <row r="118" spans="1:3" ht="15" x14ac:dyDescent="0.2">
      <c r="A118" s="3"/>
      <c r="B118" s="4"/>
      <c r="C118" s="3"/>
    </row>
    <row r="119" spans="1:3" ht="15" x14ac:dyDescent="0.2">
      <c r="A119" s="3"/>
      <c r="B119" s="4"/>
      <c r="C119" s="3"/>
    </row>
    <row r="120" spans="1:3" ht="15" x14ac:dyDescent="0.2">
      <c r="A120" s="3"/>
      <c r="B120" s="4"/>
      <c r="C120" s="3"/>
    </row>
    <row r="121" spans="1:3" ht="15" x14ac:dyDescent="0.2">
      <c r="A121" s="3"/>
      <c r="B121" s="4"/>
      <c r="C121" s="3"/>
    </row>
    <row r="122" spans="1:3" ht="15" x14ac:dyDescent="0.2">
      <c r="A122" s="3"/>
      <c r="B122" s="4"/>
      <c r="C122" s="3"/>
    </row>
    <row r="123" spans="1:3" ht="15" x14ac:dyDescent="0.2">
      <c r="A123" s="3"/>
      <c r="B123" s="4"/>
      <c r="C123" s="3"/>
    </row>
    <row r="124" spans="1:3" ht="15" x14ac:dyDescent="0.2">
      <c r="A124" s="3"/>
      <c r="B124" s="4"/>
      <c r="C124" s="3"/>
    </row>
    <row r="125" spans="1:3" ht="15" x14ac:dyDescent="0.2">
      <c r="A125" s="3"/>
      <c r="B125" s="4"/>
      <c r="C125" s="3"/>
    </row>
    <row r="126" spans="1:3" ht="15" x14ac:dyDescent="0.2">
      <c r="A126" s="3"/>
      <c r="B126" s="4"/>
      <c r="C126" s="3"/>
    </row>
    <row r="127" spans="1:3" ht="15" x14ac:dyDescent="0.2">
      <c r="A127" s="3"/>
      <c r="B127" s="4"/>
      <c r="C127" s="3"/>
    </row>
    <row r="128" spans="1:3" ht="15" x14ac:dyDescent="0.2">
      <c r="A128" s="3"/>
      <c r="B128" s="4"/>
      <c r="C128" s="3"/>
    </row>
    <row r="129" spans="1:3" ht="15" x14ac:dyDescent="0.2">
      <c r="A129" s="3"/>
      <c r="B129" s="4"/>
      <c r="C129" s="3"/>
    </row>
    <row r="130" spans="1:3" ht="15" x14ac:dyDescent="0.2">
      <c r="A130" s="3"/>
      <c r="B130" s="4"/>
      <c r="C130" s="3"/>
    </row>
    <row r="131" spans="1:3" ht="15" x14ac:dyDescent="0.2">
      <c r="A131" s="3"/>
      <c r="B131" s="4"/>
      <c r="C131" s="3"/>
    </row>
    <row r="132" spans="1:3" ht="15" x14ac:dyDescent="0.2">
      <c r="A132" s="3"/>
      <c r="B132" s="4"/>
      <c r="C132" s="3"/>
    </row>
    <row r="133" spans="1:3" ht="15" x14ac:dyDescent="0.2">
      <c r="A133" s="3"/>
      <c r="B133" s="4"/>
      <c r="C133" s="3"/>
    </row>
    <row r="134" spans="1:3" ht="15" x14ac:dyDescent="0.2">
      <c r="A134" s="3"/>
      <c r="B134" s="4"/>
      <c r="C134" s="3"/>
    </row>
    <row r="135" spans="1:3" ht="15" x14ac:dyDescent="0.2">
      <c r="A135" s="3"/>
      <c r="B135" s="4"/>
      <c r="C135" s="3"/>
    </row>
    <row r="136" spans="1:3" ht="15" x14ac:dyDescent="0.2">
      <c r="A136" s="3"/>
      <c r="B136" s="4"/>
      <c r="C136" s="3"/>
    </row>
    <row r="137" spans="1:3" ht="15" x14ac:dyDescent="0.2">
      <c r="A137" s="3"/>
      <c r="B137" s="4"/>
      <c r="C137" s="3"/>
    </row>
    <row r="138" spans="1:3" ht="15" x14ac:dyDescent="0.2">
      <c r="A138" s="3"/>
      <c r="B138" s="4"/>
      <c r="C138" s="3"/>
    </row>
    <row r="139" spans="1:3" ht="15" x14ac:dyDescent="0.2">
      <c r="A139" s="3"/>
      <c r="B139" s="4"/>
      <c r="C139" s="3"/>
    </row>
    <row r="140" spans="1:3" ht="15" x14ac:dyDescent="0.2">
      <c r="A140" s="3"/>
      <c r="B140" s="4"/>
      <c r="C140" s="3"/>
    </row>
    <row r="141" spans="1:3" ht="15" x14ac:dyDescent="0.2">
      <c r="A141" s="3"/>
      <c r="B141" s="4"/>
      <c r="C141" s="3"/>
    </row>
    <row r="142" spans="1:3" ht="15" x14ac:dyDescent="0.2">
      <c r="A142" s="3"/>
      <c r="B142" s="4"/>
      <c r="C142" s="3"/>
    </row>
    <row r="143" spans="1:3" ht="15" x14ac:dyDescent="0.2">
      <c r="A143" s="3"/>
      <c r="B143" s="4"/>
      <c r="C143" s="3"/>
    </row>
    <row r="144" spans="1:3" ht="15" x14ac:dyDescent="0.2">
      <c r="A144" s="3"/>
      <c r="B144" s="4"/>
      <c r="C144" s="3"/>
    </row>
    <row r="145" spans="1:3" ht="15" x14ac:dyDescent="0.2">
      <c r="A145" s="3"/>
      <c r="B145" s="4"/>
      <c r="C145" s="3"/>
    </row>
    <row r="146" spans="1:3" ht="15" x14ac:dyDescent="0.2">
      <c r="A146" s="3"/>
      <c r="B146" s="4"/>
      <c r="C146" s="3"/>
    </row>
    <row r="147" spans="1:3" ht="15" x14ac:dyDescent="0.2">
      <c r="A147" s="3"/>
      <c r="B147" s="4"/>
      <c r="C147" s="3"/>
    </row>
    <row r="148" spans="1:3" ht="15" x14ac:dyDescent="0.2">
      <c r="A148" s="3"/>
      <c r="B148" s="4"/>
      <c r="C148" s="3"/>
    </row>
    <row r="149" spans="1:3" ht="15" x14ac:dyDescent="0.2">
      <c r="A149" s="3"/>
      <c r="B149" s="4"/>
      <c r="C149" s="3"/>
    </row>
    <row r="150" spans="1:3" ht="15" x14ac:dyDescent="0.2">
      <c r="A150" s="3"/>
      <c r="B150" s="4"/>
      <c r="C150" s="3"/>
    </row>
    <row r="151" spans="1:3" ht="15" x14ac:dyDescent="0.2">
      <c r="A151" s="3"/>
      <c r="B151" s="4"/>
      <c r="C151" s="3"/>
    </row>
    <row r="152" spans="1:3" ht="15" x14ac:dyDescent="0.2">
      <c r="A152" s="3"/>
      <c r="B152" s="4"/>
      <c r="C152" s="3"/>
    </row>
    <row r="153" spans="1:3" ht="15" x14ac:dyDescent="0.2">
      <c r="A153" s="3"/>
      <c r="B153" s="4"/>
      <c r="C153" s="3"/>
    </row>
    <row r="154" spans="1:3" ht="15" x14ac:dyDescent="0.2">
      <c r="A154" s="3"/>
      <c r="B154" s="4"/>
      <c r="C154" s="3"/>
    </row>
    <row r="155" spans="1:3" ht="15" x14ac:dyDescent="0.2">
      <c r="A155" s="3"/>
      <c r="B155" s="4"/>
      <c r="C155" s="3"/>
    </row>
    <row r="156" spans="1:3" ht="15" x14ac:dyDescent="0.2">
      <c r="A156" s="3"/>
      <c r="B156" s="4"/>
      <c r="C156" s="3"/>
    </row>
    <row r="157" spans="1:3" ht="15" x14ac:dyDescent="0.2">
      <c r="A157" s="3"/>
      <c r="B157" s="4"/>
      <c r="C157" s="3"/>
    </row>
    <row r="158" spans="1:3" ht="15" x14ac:dyDescent="0.2">
      <c r="A158" s="3"/>
      <c r="B158" s="4"/>
      <c r="C158" s="3"/>
    </row>
    <row r="159" spans="1:3" ht="15" x14ac:dyDescent="0.2">
      <c r="A159" s="3"/>
      <c r="B159" s="4"/>
      <c r="C159" s="3"/>
    </row>
    <row r="160" spans="1:3" ht="15" x14ac:dyDescent="0.2">
      <c r="A160" s="3"/>
      <c r="B160" s="4"/>
      <c r="C160" s="3"/>
    </row>
    <row r="161" spans="1:3" ht="15" x14ac:dyDescent="0.2">
      <c r="A161" s="3"/>
      <c r="B161" s="4"/>
      <c r="C161" s="3"/>
    </row>
    <row r="162" spans="1:3" ht="15" x14ac:dyDescent="0.2">
      <c r="A162" s="3"/>
      <c r="B162" s="4"/>
      <c r="C162" s="3"/>
    </row>
    <row r="163" spans="1:3" ht="15" x14ac:dyDescent="0.2">
      <c r="A163" s="3"/>
      <c r="B163" s="4"/>
      <c r="C163" s="3"/>
    </row>
    <row r="164" spans="1:3" ht="15" x14ac:dyDescent="0.2">
      <c r="A164" s="3"/>
      <c r="B164" s="4"/>
      <c r="C164" s="3"/>
    </row>
    <row r="165" spans="1:3" ht="15" x14ac:dyDescent="0.2">
      <c r="A165" s="3"/>
      <c r="B165" s="4"/>
      <c r="C165" s="3"/>
    </row>
    <row r="166" spans="1:3" ht="15" x14ac:dyDescent="0.2">
      <c r="A166" s="3"/>
      <c r="B166" s="4"/>
      <c r="C166" s="3"/>
    </row>
    <row r="167" spans="1:3" ht="15" x14ac:dyDescent="0.2">
      <c r="A167" s="3"/>
      <c r="B167" s="4"/>
      <c r="C167" s="3"/>
    </row>
    <row r="168" spans="1:3" ht="15" x14ac:dyDescent="0.2">
      <c r="A168" s="3"/>
      <c r="B168" s="4"/>
      <c r="C168" s="3"/>
    </row>
    <row r="169" spans="1:3" ht="15" x14ac:dyDescent="0.2">
      <c r="A169" s="3"/>
      <c r="B169" s="4"/>
      <c r="C169" s="3"/>
    </row>
    <row r="170" spans="1:3" ht="15" x14ac:dyDescent="0.2">
      <c r="A170" s="3"/>
      <c r="B170" s="4"/>
      <c r="C170" s="3"/>
    </row>
    <row r="171" spans="1:3" ht="15" x14ac:dyDescent="0.2">
      <c r="A171" s="3"/>
      <c r="B171" s="4"/>
      <c r="C171" s="3"/>
    </row>
    <row r="172" spans="1:3" ht="15" x14ac:dyDescent="0.2">
      <c r="A172" s="3"/>
      <c r="B172" s="4"/>
      <c r="C172" s="3"/>
    </row>
    <row r="173" spans="1:3" ht="15" x14ac:dyDescent="0.2">
      <c r="A173" s="3"/>
      <c r="B173" s="4"/>
      <c r="C173" s="3"/>
    </row>
    <row r="174" spans="1:3" ht="15" x14ac:dyDescent="0.2">
      <c r="A174" s="3"/>
      <c r="B174" s="4"/>
      <c r="C174" s="3"/>
    </row>
    <row r="175" spans="1:3" ht="15" x14ac:dyDescent="0.2">
      <c r="A175" s="3"/>
      <c r="B175" s="4"/>
      <c r="C175" s="3"/>
    </row>
    <row r="176" spans="1:3" ht="15" x14ac:dyDescent="0.2">
      <c r="A176" s="3"/>
      <c r="B176" s="4"/>
      <c r="C176" s="3"/>
    </row>
    <row r="177" spans="1:3" ht="15" x14ac:dyDescent="0.2">
      <c r="A177" s="3"/>
      <c r="B177" s="4"/>
      <c r="C177" s="3"/>
    </row>
    <row r="178" spans="1:3" ht="15" x14ac:dyDescent="0.2">
      <c r="A178" s="3"/>
      <c r="B178" s="4"/>
      <c r="C178" s="3"/>
    </row>
    <row r="179" spans="1:3" ht="15" x14ac:dyDescent="0.2">
      <c r="A179" s="3"/>
      <c r="B179" s="4"/>
      <c r="C179" s="3"/>
    </row>
    <row r="180" spans="1:3" ht="15" x14ac:dyDescent="0.2">
      <c r="A180" s="3"/>
      <c r="B180" s="4"/>
      <c r="C180" s="3"/>
    </row>
    <row r="181" spans="1:3" ht="15" x14ac:dyDescent="0.2">
      <c r="A181" s="3"/>
      <c r="B181" s="4"/>
      <c r="C181" s="3"/>
    </row>
    <row r="182" spans="1:3" ht="15" x14ac:dyDescent="0.2">
      <c r="A182" s="3"/>
      <c r="B182" s="4"/>
      <c r="C182" s="3"/>
    </row>
    <row r="183" spans="1:3" ht="15" x14ac:dyDescent="0.2">
      <c r="A183" s="3"/>
      <c r="B183" s="4"/>
      <c r="C183" s="3"/>
    </row>
    <row r="184" spans="1:3" ht="15" x14ac:dyDescent="0.2">
      <c r="A184" s="3"/>
      <c r="B184" s="4"/>
      <c r="C184" s="3"/>
    </row>
    <row r="185" spans="1:3" ht="15" x14ac:dyDescent="0.2">
      <c r="A185" s="3"/>
      <c r="B185" s="4"/>
      <c r="C185" s="3"/>
    </row>
    <row r="186" spans="1:3" ht="15" x14ac:dyDescent="0.2">
      <c r="A186" s="3"/>
      <c r="B186" s="4"/>
      <c r="C186" s="3"/>
    </row>
    <row r="187" spans="1:3" ht="15" x14ac:dyDescent="0.2">
      <c r="A187" s="3"/>
      <c r="B187" s="4"/>
      <c r="C187" s="3"/>
    </row>
    <row r="188" spans="1:3" ht="15" x14ac:dyDescent="0.2">
      <c r="A188" s="3"/>
      <c r="B188" s="4"/>
      <c r="C188" s="3"/>
    </row>
    <row r="189" spans="1:3" ht="15" x14ac:dyDescent="0.2">
      <c r="A189" s="3"/>
      <c r="B189" s="4"/>
      <c r="C189" s="3"/>
    </row>
    <row r="190" spans="1:3" ht="15" x14ac:dyDescent="0.2">
      <c r="A190" s="3"/>
      <c r="B190" s="4"/>
      <c r="C190" s="3"/>
    </row>
    <row r="191" spans="1:3" ht="15" x14ac:dyDescent="0.2">
      <c r="A191" s="3"/>
      <c r="B191" s="4"/>
      <c r="C191" s="3"/>
    </row>
  </sheetData>
  <mergeCells count="2">
    <mergeCell ref="A1:B1"/>
    <mergeCell ref="A2:B2"/>
  </mergeCells>
  <pageMargins left="1" right="0.75" top="0.75" bottom="0.5" header="0.5" footer="0.5"/>
  <pageSetup orientation="portrait" r:id="rId1"/>
  <headerFooter>
    <oddFooter>&amp;L&amp;KFF0000Final Rate Application&amp;CPage &amp;P of &amp;N&amp;R02/10/2017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1"/>
  <sheetViews>
    <sheetView zoomScaleNormal="100" workbookViewId="0"/>
  </sheetViews>
  <sheetFormatPr defaultRowHeight="12.75" x14ac:dyDescent="0.2"/>
  <cols>
    <col min="1" max="1" width="36" style="12" customWidth="1"/>
    <col min="2" max="6" width="18.28515625" style="12" customWidth="1"/>
    <col min="7" max="7" width="1.7109375" style="407" customWidth="1"/>
    <col min="8" max="10" width="12.28515625" style="12" customWidth="1"/>
    <col min="11" max="11" width="12.42578125" style="12" customWidth="1"/>
    <col min="12" max="12" width="16.140625" style="12" bestFit="1" customWidth="1"/>
    <col min="13" max="13" width="2.5703125" style="12" customWidth="1"/>
    <col min="14" max="14" width="36.28515625" style="12" bestFit="1" customWidth="1"/>
    <col min="15" max="18" width="12.140625" style="12" customWidth="1"/>
    <col min="19" max="19" width="16.140625" style="12" bestFit="1" customWidth="1"/>
    <col min="20" max="16384" width="9.140625" style="12"/>
  </cols>
  <sheetData>
    <row r="1" spans="1:19" x14ac:dyDescent="0.2">
      <c r="A1" s="112" t="str">
        <f>B!$A$2</f>
        <v>Recology San Francisco</v>
      </c>
      <c r="F1" s="406"/>
    </row>
    <row r="2" spans="1:19" x14ac:dyDescent="0.2">
      <c r="A2" s="300" t="s">
        <v>287</v>
      </c>
    </row>
    <row r="3" spans="1:19" ht="12.75" customHeight="1" x14ac:dyDescent="0.2">
      <c r="A3" s="265" t="s">
        <v>20</v>
      </c>
      <c r="F3" s="408" t="s">
        <v>97</v>
      </c>
      <c r="H3" s="1522" t="s">
        <v>74</v>
      </c>
      <c r="I3" s="1523"/>
      <c r="J3" s="1523"/>
      <c r="K3" s="1523"/>
      <c r="L3" s="1524"/>
      <c r="N3" s="1497" t="s">
        <v>75</v>
      </c>
      <c r="O3" s="1498"/>
      <c r="P3" s="1498"/>
      <c r="Q3" s="1498"/>
      <c r="R3" s="1498"/>
      <c r="S3" s="1499"/>
    </row>
    <row r="4" spans="1:19" ht="12.75" customHeight="1" x14ac:dyDescent="0.2">
      <c r="A4" s="409"/>
      <c r="C4" s="410"/>
      <c r="D4" s="410"/>
      <c r="E4" s="411"/>
      <c r="F4" s="412">
        <f>+D!$G$5</f>
        <v>0.03</v>
      </c>
      <c r="H4" s="1525"/>
      <c r="I4" s="1526"/>
      <c r="J4" s="1526"/>
      <c r="K4" s="1527"/>
      <c r="L4" s="1528"/>
      <c r="N4" s="1529"/>
      <c r="O4" s="1502"/>
      <c r="P4" s="1502"/>
      <c r="Q4" s="1502"/>
      <c r="R4" s="1502"/>
      <c r="S4" s="1503"/>
    </row>
    <row r="5" spans="1:19" ht="18" customHeight="1" x14ac:dyDescent="0.2">
      <c r="B5" s="1504" t="s">
        <v>207</v>
      </c>
      <c r="C5" s="1505"/>
      <c r="D5" s="1506"/>
      <c r="E5" s="267" t="s">
        <v>208</v>
      </c>
      <c r="F5" s="19" t="s">
        <v>209</v>
      </c>
      <c r="H5" s="1504" t="s">
        <v>207</v>
      </c>
      <c r="I5" s="1505"/>
      <c r="J5" s="1506"/>
      <c r="K5" s="267" t="s">
        <v>208</v>
      </c>
      <c r="L5" s="19" t="s">
        <v>209</v>
      </c>
      <c r="N5" s="413"/>
      <c r="O5" s="1504" t="s">
        <v>207</v>
      </c>
      <c r="P5" s="1505"/>
      <c r="Q5" s="1506"/>
      <c r="R5" s="267" t="s">
        <v>208</v>
      </c>
      <c r="S5" s="19" t="s">
        <v>209</v>
      </c>
    </row>
    <row r="6" spans="1:19" s="420" customFormat="1" ht="22.5" customHeight="1" x14ac:dyDescent="0.2">
      <c r="A6" s="414"/>
      <c r="B6" s="416" t="str">
        <f>+F.3!B6</f>
        <v>RY 2014</v>
      </c>
      <c r="C6" s="416" t="str">
        <f>+F.3!C6</f>
        <v>RY 2015</v>
      </c>
      <c r="D6" s="415" t="s">
        <v>104</v>
      </c>
      <c r="E6" s="417" t="str">
        <f>+F.3!E6</f>
        <v>RY 2017</v>
      </c>
      <c r="F6" s="418" t="str">
        <f>+F.3!F6</f>
        <v>RY 2018</v>
      </c>
      <c r="G6" s="419"/>
      <c r="H6" s="416" t="s">
        <v>102</v>
      </c>
      <c r="I6" s="416" t="s">
        <v>103</v>
      </c>
      <c r="J6" s="415" t="s">
        <v>104</v>
      </c>
      <c r="K6" s="417" t="s">
        <v>99</v>
      </c>
      <c r="L6" s="418" t="s">
        <v>69</v>
      </c>
      <c r="N6" s="421"/>
      <c r="O6" s="416" t="s">
        <v>102</v>
      </c>
      <c r="P6" s="416" t="s">
        <v>103</v>
      </c>
      <c r="Q6" s="415" t="s">
        <v>104</v>
      </c>
      <c r="R6" s="417" t="s">
        <v>99</v>
      </c>
      <c r="S6" s="418" t="s">
        <v>69</v>
      </c>
    </row>
    <row r="7" spans="1:19" ht="20.100000000000001" customHeight="1" x14ac:dyDescent="0.2">
      <c r="A7" s="340" t="s">
        <v>288</v>
      </c>
      <c r="B7" s="144">
        <v>608919</v>
      </c>
      <c r="C7" s="144">
        <v>662491</v>
      </c>
      <c r="D7" s="144">
        <v>861591.05999999959</v>
      </c>
      <c r="E7" s="144">
        <f>D7</f>
        <v>861591.05999999959</v>
      </c>
      <c r="F7" s="144">
        <f>E7*(1+$F$4)</f>
        <v>887438.79179999966</v>
      </c>
      <c r="H7" s="144">
        <f t="shared" ref="H7:L11" si="0">IFERROR(B7-O7,"")</f>
        <v>0</v>
      </c>
      <c r="I7" s="144">
        <f t="shared" si="0"/>
        <v>0</v>
      </c>
      <c r="J7" s="144">
        <f t="shared" si="0"/>
        <v>0</v>
      </c>
      <c r="K7" s="144">
        <f t="shared" si="0"/>
        <v>0</v>
      </c>
      <c r="L7" s="144">
        <f t="shared" si="0"/>
        <v>0</v>
      </c>
      <c r="N7" s="340" t="s">
        <v>289</v>
      </c>
      <c r="O7" s="144">
        <v>608919</v>
      </c>
      <c r="P7" s="144">
        <v>662491</v>
      </c>
      <c r="Q7" s="144">
        <v>861591.05999999959</v>
      </c>
      <c r="R7" s="144">
        <v>861591.05999999959</v>
      </c>
      <c r="S7" s="144">
        <v>887438.79179999966</v>
      </c>
    </row>
    <row r="8" spans="1:19" ht="20.100000000000001" customHeight="1" x14ac:dyDescent="0.2">
      <c r="A8" s="422" t="s">
        <v>87</v>
      </c>
      <c r="B8" s="144">
        <v>0</v>
      </c>
      <c r="C8" s="144">
        <v>0</v>
      </c>
      <c r="D8" s="144">
        <v>5778916</v>
      </c>
      <c r="E8" s="144">
        <v>3416405.5</v>
      </c>
      <c r="F8" s="144">
        <v>0</v>
      </c>
      <c r="H8" s="144">
        <f t="shared" si="0"/>
        <v>0</v>
      </c>
      <c r="I8" s="144">
        <f t="shared" si="0"/>
        <v>0</v>
      </c>
      <c r="J8" s="144">
        <f t="shared" si="0"/>
        <v>0</v>
      </c>
      <c r="K8" s="144">
        <f t="shared" si="0"/>
        <v>0</v>
      </c>
      <c r="L8" s="144">
        <f t="shared" si="0"/>
        <v>0</v>
      </c>
      <c r="N8" s="422" t="s">
        <v>290</v>
      </c>
      <c r="O8" s="144">
        <v>0</v>
      </c>
      <c r="P8" s="144">
        <v>0</v>
      </c>
      <c r="Q8" s="144">
        <v>5778916</v>
      </c>
      <c r="R8" s="144">
        <v>3416405.5</v>
      </c>
      <c r="S8" s="144">
        <v>0</v>
      </c>
    </row>
    <row r="9" spans="1:19" ht="20.100000000000001" customHeight="1" x14ac:dyDescent="0.2">
      <c r="A9" s="422" t="s">
        <v>291</v>
      </c>
      <c r="B9" s="144">
        <v>895215</v>
      </c>
      <c r="C9" s="144">
        <v>1017558</v>
      </c>
      <c r="D9" s="144">
        <v>866070.87999999989</v>
      </c>
      <c r="E9" s="144">
        <f>D9</f>
        <v>866070.87999999989</v>
      </c>
      <c r="F9" s="144">
        <f>E9*(1+$F$4)+(500000/3)</f>
        <v>1058719.6730666666</v>
      </c>
      <c r="G9" s="423"/>
      <c r="H9" s="144">
        <f t="shared" si="0"/>
        <v>0</v>
      </c>
      <c r="I9" s="144">
        <f t="shared" si="0"/>
        <v>0</v>
      </c>
      <c r="J9" s="144">
        <f t="shared" si="0"/>
        <v>0</v>
      </c>
      <c r="K9" s="144">
        <f t="shared" si="0"/>
        <v>0</v>
      </c>
      <c r="L9" s="144">
        <f t="shared" si="0"/>
        <v>-349000</v>
      </c>
      <c r="N9" s="422" t="s">
        <v>292</v>
      </c>
      <c r="O9" s="144">
        <v>895215</v>
      </c>
      <c r="P9" s="144">
        <v>1017558</v>
      </c>
      <c r="Q9" s="144">
        <v>866070.87999999989</v>
      </c>
      <c r="R9" s="144">
        <v>866070.87999999989</v>
      </c>
      <c r="S9" s="144">
        <v>1407719.6730666666</v>
      </c>
    </row>
    <row r="10" spans="1:19" ht="20.100000000000001" customHeight="1" x14ac:dyDescent="0.2">
      <c r="A10" s="422" t="s">
        <v>293</v>
      </c>
      <c r="B10" s="144">
        <v>0</v>
      </c>
      <c r="C10" s="144">
        <v>0</v>
      </c>
      <c r="D10" s="144">
        <v>0</v>
      </c>
      <c r="E10" s="144">
        <v>0</v>
      </c>
      <c r="F10" s="144">
        <v>349000</v>
      </c>
      <c r="G10" s="423"/>
      <c r="H10" s="144">
        <f t="shared" si="0"/>
        <v>0</v>
      </c>
      <c r="I10" s="144">
        <f t="shared" si="0"/>
        <v>0</v>
      </c>
      <c r="J10" s="144">
        <f t="shared" si="0"/>
        <v>0</v>
      </c>
      <c r="K10" s="144">
        <f t="shared" si="0"/>
        <v>0</v>
      </c>
      <c r="L10" s="144">
        <f t="shared" si="0"/>
        <v>349000</v>
      </c>
      <c r="N10" s="422"/>
      <c r="O10" s="144"/>
      <c r="P10" s="144"/>
      <c r="Q10" s="144"/>
      <c r="R10" s="144"/>
      <c r="S10" s="144"/>
    </row>
    <row r="11" spans="1:19" ht="20.100000000000001" customHeight="1" x14ac:dyDescent="0.2">
      <c r="A11" s="424" t="s">
        <v>294</v>
      </c>
      <c r="B11" s="341">
        <v>44400</v>
      </c>
      <c r="C11" s="341">
        <v>44400</v>
      </c>
      <c r="D11" s="144">
        <v>44400</v>
      </c>
      <c r="E11" s="144">
        <v>44400</v>
      </c>
      <c r="F11" s="144">
        <f>E11</f>
        <v>44400</v>
      </c>
      <c r="H11" s="341">
        <f t="shared" si="0"/>
        <v>0</v>
      </c>
      <c r="I11" s="341">
        <f t="shared" si="0"/>
        <v>0</v>
      </c>
      <c r="J11" s="144">
        <f t="shared" si="0"/>
        <v>0</v>
      </c>
      <c r="K11" s="144">
        <f t="shared" si="0"/>
        <v>0</v>
      </c>
      <c r="L11" s="144">
        <f t="shared" si="0"/>
        <v>0</v>
      </c>
      <c r="N11" s="424" t="s">
        <v>294</v>
      </c>
      <c r="O11" s="341">
        <v>44400</v>
      </c>
      <c r="P11" s="341">
        <v>44400</v>
      </c>
      <c r="Q11" s="144">
        <v>44400</v>
      </c>
      <c r="R11" s="144">
        <v>44400</v>
      </c>
      <c r="S11" s="144">
        <v>44400</v>
      </c>
    </row>
    <row r="12" spans="1:19" ht="5.0999999999999996" customHeight="1" x14ac:dyDescent="0.2">
      <c r="A12" s="344"/>
      <c r="B12" s="313"/>
      <c r="C12" s="313"/>
      <c r="D12" s="313"/>
      <c r="E12" s="425"/>
      <c r="F12" s="425"/>
      <c r="H12" s="313"/>
      <c r="I12" s="313"/>
      <c r="J12" s="313"/>
      <c r="K12" s="425"/>
      <c r="L12" s="425"/>
      <c r="N12" s="344"/>
      <c r="O12" s="313"/>
      <c r="P12" s="313"/>
      <c r="Q12" s="313"/>
      <c r="R12" s="425"/>
      <c r="S12" s="425"/>
    </row>
    <row r="13" spans="1:19" ht="22.5" customHeight="1" x14ac:dyDescent="0.2">
      <c r="A13" s="141" t="s">
        <v>295</v>
      </c>
      <c r="B13" s="426">
        <f t="shared" ref="B13:F13" si="1">SUM(B7:B11)</f>
        <v>1548534</v>
      </c>
      <c r="C13" s="426">
        <f t="shared" si="1"/>
        <v>1724449</v>
      </c>
      <c r="D13" s="426">
        <f t="shared" si="1"/>
        <v>7550977.9399999995</v>
      </c>
      <c r="E13" s="427">
        <f t="shared" si="1"/>
        <v>5188467.4399999995</v>
      </c>
      <c r="F13" s="427">
        <f t="shared" si="1"/>
        <v>2339558.4648666661</v>
      </c>
      <c r="H13" s="426">
        <f>IFERROR(B13-O13,"")</f>
        <v>0</v>
      </c>
      <c r="I13" s="426">
        <f>IFERROR(C13-P13,"")</f>
        <v>0</v>
      </c>
      <c r="J13" s="426">
        <f>IFERROR(D13-Q13,"")</f>
        <v>0</v>
      </c>
      <c r="K13" s="427">
        <f>IFERROR(E13-R13,"")</f>
        <v>0</v>
      </c>
      <c r="L13" s="427">
        <f>IFERROR(F13-S13,"")</f>
        <v>0</v>
      </c>
      <c r="N13" s="141" t="s">
        <v>295</v>
      </c>
      <c r="O13" s="426">
        <v>1548534</v>
      </c>
      <c r="P13" s="426">
        <v>1724449</v>
      </c>
      <c r="Q13" s="426">
        <v>7550977.9399999995</v>
      </c>
      <c r="R13" s="427">
        <v>5188467.4399999995</v>
      </c>
      <c r="S13" s="427">
        <v>2339558.4648666661</v>
      </c>
    </row>
    <row r="14" spans="1:19" x14ac:dyDescent="0.2">
      <c r="A14" s="407"/>
      <c r="B14" s="428"/>
      <c r="C14" s="428"/>
      <c r="D14" s="428"/>
      <c r="E14" s="428"/>
      <c r="F14" s="428"/>
      <c r="O14" s="428"/>
      <c r="P14" s="428"/>
      <c r="Q14" s="428"/>
      <c r="R14" s="428"/>
      <c r="S14" s="428"/>
    </row>
    <row r="15" spans="1:19" x14ac:dyDescent="0.2">
      <c r="A15" s="429"/>
    </row>
    <row r="19" spans="2:4" x14ac:dyDescent="0.2">
      <c r="B19" s="348"/>
      <c r="C19" s="348"/>
      <c r="D19" s="348"/>
    </row>
    <row r="21" spans="2:4" x14ac:dyDescent="0.2">
      <c r="B21" s="348"/>
      <c r="C21" s="348"/>
      <c r="D21" s="348"/>
    </row>
  </sheetData>
  <mergeCells count="5">
    <mergeCell ref="H3:L4"/>
    <mergeCell ref="N3:S4"/>
    <mergeCell ref="B5:D5"/>
    <mergeCell ref="H5:J5"/>
    <mergeCell ref="O5:Q5"/>
  </mergeCells>
  <pageMargins left="1" right="0.75" top="0.75" bottom="0.5" header="0.5" footer="0.5"/>
  <pageSetup scale="94" orientation="landscape" r:id="rId1"/>
  <headerFooter>
    <oddFooter>&amp;L&amp;KFF0000Final Rate Application&amp;CPage &amp;P of &amp;N&amp;R02/10/2017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</sheetPr>
  <dimension ref="A1:AC713"/>
  <sheetViews>
    <sheetView showOutlineSymbols="0" zoomScaleNormal="100" zoomScaleSheetLayoutView="70" workbookViewId="0">
      <selection activeCell="G20" sqref="G20"/>
    </sheetView>
  </sheetViews>
  <sheetFormatPr defaultRowHeight="11.25" x14ac:dyDescent="0.2"/>
  <cols>
    <col min="1" max="1" width="31.5703125" style="431" bestFit="1" customWidth="1" collapsed="1"/>
    <col min="2" max="2" width="9.85546875" style="434" customWidth="1" collapsed="1"/>
    <col min="3" max="3" width="12.85546875" style="434" bestFit="1" customWidth="1"/>
    <col min="4" max="4" width="9.85546875" style="434" customWidth="1"/>
    <col min="5" max="5" width="12.85546875" style="434" bestFit="1" customWidth="1"/>
    <col min="6" max="6" width="9.85546875" style="433" customWidth="1"/>
    <col min="7" max="7" width="12.85546875" style="434" bestFit="1" customWidth="1"/>
    <col min="8" max="8" width="8.140625" style="433" bestFit="1" customWidth="1"/>
    <col min="9" max="9" width="12.85546875" style="434" bestFit="1" customWidth="1"/>
    <col min="10" max="10" width="7.5703125" style="433" bestFit="1" customWidth="1"/>
    <col min="11" max="11" width="12.85546875" style="434" bestFit="1" customWidth="1"/>
    <col min="12" max="12" width="1.7109375" style="431" customWidth="1"/>
    <col min="13" max="13" width="9.140625" style="431" collapsed="1"/>
    <col min="14" max="14" width="15.28515625" style="431" bestFit="1" customWidth="1"/>
    <col min="15" max="15" width="9.7109375" style="431" customWidth="1"/>
    <col min="16" max="16" width="17.140625" style="431" customWidth="1"/>
    <col min="17" max="17" width="2" style="431" customWidth="1"/>
    <col min="18" max="18" width="24.7109375" style="431" bestFit="1" customWidth="1"/>
    <col min="19" max="19" width="9.140625" style="431"/>
    <col min="20" max="20" width="10.7109375" style="431" bestFit="1" customWidth="1"/>
    <col min="21" max="21" width="9.140625" style="431"/>
    <col min="22" max="22" width="10.7109375" style="431" bestFit="1" customWidth="1"/>
    <col min="23" max="16384" width="9.140625" style="431"/>
  </cols>
  <sheetData>
    <row r="1" spans="1:22" ht="12.75" customHeight="1" x14ac:dyDescent="0.2">
      <c r="A1" s="112" t="s">
        <v>0</v>
      </c>
    </row>
    <row r="2" spans="1:22" ht="12.75" customHeight="1" x14ac:dyDescent="0.2">
      <c r="A2" s="436" t="s">
        <v>296</v>
      </c>
    </row>
    <row r="3" spans="1:22" ht="12.75" customHeight="1" x14ac:dyDescent="0.2">
      <c r="A3" s="265" t="s">
        <v>22</v>
      </c>
      <c r="H3" s="437"/>
      <c r="J3" s="437"/>
      <c r="M3" s="1522" t="s">
        <v>74</v>
      </c>
      <c r="N3" s="1523"/>
      <c r="O3" s="1523"/>
      <c r="P3" s="1524"/>
      <c r="Q3" s="12"/>
      <c r="R3" s="1497" t="s">
        <v>75</v>
      </c>
      <c r="S3" s="1498"/>
      <c r="T3" s="1498"/>
      <c r="U3" s="1498"/>
      <c r="V3" s="1499"/>
    </row>
    <row r="4" spans="1:22" ht="11.25" customHeight="1" x14ac:dyDescent="0.2">
      <c r="H4" s="434"/>
      <c r="J4" s="434"/>
      <c r="M4" s="1531"/>
      <c r="N4" s="1527"/>
      <c r="O4" s="1527"/>
      <c r="P4" s="1528"/>
      <c r="Q4" s="12"/>
      <c r="R4" s="1529"/>
      <c r="S4" s="1502"/>
      <c r="T4" s="1502"/>
      <c r="U4" s="1502"/>
      <c r="V4" s="1503"/>
    </row>
    <row r="5" spans="1:22" x14ac:dyDescent="0.2">
      <c r="A5" s="438"/>
      <c r="B5" s="1532" t="s">
        <v>207</v>
      </c>
      <c r="C5" s="1533"/>
      <c r="D5" s="1533"/>
      <c r="E5" s="1533"/>
      <c r="F5" s="1533"/>
      <c r="G5" s="1534"/>
      <c r="H5" s="1535" t="s">
        <v>208</v>
      </c>
      <c r="I5" s="1536"/>
      <c r="J5" s="1537" t="s">
        <v>209</v>
      </c>
      <c r="K5" s="1538"/>
      <c r="M5" s="1535" t="s">
        <v>208</v>
      </c>
      <c r="N5" s="1536"/>
      <c r="O5" s="1537" t="s">
        <v>209</v>
      </c>
      <c r="P5" s="1538"/>
      <c r="R5" s="439"/>
      <c r="S5" s="1536" t="s">
        <v>208</v>
      </c>
      <c r="T5" s="1539"/>
      <c r="U5" s="1540" t="s">
        <v>209</v>
      </c>
      <c r="V5" s="1538"/>
    </row>
    <row r="6" spans="1:22" x14ac:dyDescent="0.2">
      <c r="A6" s="440"/>
      <c r="B6" s="1549" t="s">
        <v>102</v>
      </c>
      <c r="C6" s="1550"/>
      <c r="D6" s="1549" t="s">
        <v>103</v>
      </c>
      <c r="E6" s="1550"/>
      <c r="F6" s="1549" t="s">
        <v>104</v>
      </c>
      <c r="G6" s="1550"/>
      <c r="H6" s="1541" t="s">
        <v>99</v>
      </c>
      <c r="I6" s="1542"/>
      <c r="J6" s="1543" t="s">
        <v>69</v>
      </c>
      <c r="K6" s="1544"/>
      <c r="M6" s="1541" t="s">
        <v>99</v>
      </c>
      <c r="N6" s="1542"/>
      <c r="O6" s="1543" t="s">
        <v>69</v>
      </c>
      <c r="P6" s="1544"/>
      <c r="R6" s="441"/>
      <c r="S6" s="1545" t="s">
        <v>99</v>
      </c>
      <c r="T6" s="1542"/>
      <c r="U6" s="1546" t="s">
        <v>69</v>
      </c>
      <c r="V6" s="1544"/>
    </row>
    <row r="7" spans="1:22" x14ac:dyDescent="0.2">
      <c r="A7" s="435"/>
      <c r="B7" s="443" t="s">
        <v>297</v>
      </c>
      <c r="C7" s="444" t="s">
        <v>298</v>
      </c>
      <c r="D7" s="443" t="s">
        <v>297</v>
      </c>
      <c r="E7" s="444" t="s">
        <v>298</v>
      </c>
      <c r="F7" s="443" t="s">
        <v>297</v>
      </c>
      <c r="G7" s="444" t="s">
        <v>298</v>
      </c>
      <c r="H7" s="443" t="s">
        <v>297</v>
      </c>
      <c r="I7" s="445" t="s">
        <v>298</v>
      </c>
      <c r="J7" s="443" t="s">
        <v>297</v>
      </c>
      <c r="K7" s="446" t="s">
        <v>298</v>
      </c>
      <c r="M7" s="443" t="s">
        <v>297</v>
      </c>
      <c r="N7" s="445" t="s">
        <v>298</v>
      </c>
      <c r="O7" s="443" t="s">
        <v>297</v>
      </c>
      <c r="P7" s="446" t="s">
        <v>298</v>
      </c>
      <c r="R7" s="447"/>
      <c r="S7" s="442" t="s">
        <v>297</v>
      </c>
      <c r="T7" s="445" t="s">
        <v>298</v>
      </c>
      <c r="U7" s="443" t="s">
        <v>297</v>
      </c>
      <c r="V7" s="446" t="s">
        <v>298</v>
      </c>
    </row>
    <row r="8" spans="1:22" ht="15.75" customHeight="1" x14ac:dyDescent="0.2">
      <c r="A8" s="448" t="s">
        <v>300</v>
      </c>
      <c r="B8" s="451"/>
      <c r="C8" s="451"/>
      <c r="D8" s="451"/>
      <c r="E8" s="451"/>
      <c r="F8" s="452"/>
      <c r="G8" s="451"/>
      <c r="H8" s="449"/>
      <c r="I8" s="450"/>
      <c r="J8" s="453"/>
      <c r="K8" s="450"/>
      <c r="L8" s="431" t="s">
        <v>143</v>
      </c>
      <c r="M8" s="449"/>
      <c r="N8" s="450"/>
      <c r="O8" s="453"/>
      <c r="P8" s="450"/>
      <c r="R8" s="454" t="s">
        <v>300</v>
      </c>
      <c r="S8" s="449"/>
      <c r="T8" s="450"/>
      <c r="U8" s="453"/>
      <c r="V8" s="450"/>
    </row>
    <row r="9" spans="1:22" x14ac:dyDescent="0.2">
      <c r="A9" s="455" t="s">
        <v>301</v>
      </c>
      <c r="B9" s="458">
        <v>31.31666666666667</v>
      </c>
      <c r="C9" s="457">
        <v>2965283.9316275581</v>
      </c>
      <c r="D9" s="458">
        <v>31.583333333333332</v>
      </c>
      <c r="E9" s="457">
        <v>2929944.0851154365</v>
      </c>
      <c r="F9" s="458">
        <v>31.253333333333334</v>
      </c>
      <c r="G9" s="457">
        <v>3455161.7666811291</v>
      </c>
      <c r="H9" s="458">
        <v>33</v>
      </c>
      <c r="I9" s="459">
        <v>3252968.4500000007</v>
      </c>
      <c r="J9" s="458">
        <v>33</v>
      </c>
      <c r="K9" s="459">
        <v>3408528.49</v>
      </c>
      <c r="L9" s="435"/>
      <c r="M9" s="458">
        <f t="shared" ref="M9:M18" si="0">IFERROR(H9-S9,"")</f>
        <v>0</v>
      </c>
      <c r="N9" s="459">
        <f t="shared" ref="N9:N18" si="1">IFERROR(I9-T9,"")</f>
        <v>0</v>
      </c>
      <c r="O9" s="458">
        <f t="shared" ref="O9:O18" si="2">IFERROR(J9-U9,"")</f>
        <v>0</v>
      </c>
      <c r="P9" s="459">
        <f t="shared" ref="P9:P18" si="3">IFERROR(K9-V9,"")</f>
        <v>0</v>
      </c>
      <c r="R9" s="455" t="s">
        <v>301</v>
      </c>
      <c r="S9" s="458">
        <v>33</v>
      </c>
      <c r="T9" s="459">
        <v>3252968.4500000007</v>
      </c>
      <c r="U9" s="458">
        <v>33</v>
      </c>
      <c r="V9" s="459">
        <v>3408528.49</v>
      </c>
    </row>
    <row r="10" spans="1:22" x14ac:dyDescent="0.2">
      <c r="A10" s="460" t="s">
        <v>302</v>
      </c>
      <c r="B10" s="463">
        <v>12</v>
      </c>
      <c r="C10" s="462">
        <v>688358.80804389913</v>
      </c>
      <c r="D10" s="463">
        <v>12.5</v>
      </c>
      <c r="E10" s="462">
        <v>793141.77150297072</v>
      </c>
      <c r="F10" s="463">
        <v>13</v>
      </c>
      <c r="G10" s="462">
        <v>873202.5748123033</v>
      </c>
      <c r="H10" s="463">
        <v>12</v>
      </c>
      <c r="I10" s="464">
        <v>864178.97000000032</v>
      </c>
      <c r="J10" s="463">
        <v>12</v>
      </c>
      <c r="K10" s="464">
        <v>887289.74000000011</v>
      </c>
      <c r="L10" s="435"/>
      <c r="M10" s="463">
        <f t="shared" si="0"/>
        <v>0</v>
      </c>
      <c r="N10" s="464">
        <f t="shared" si="1"/>
        <v>0</v>
      </c>
      <c r="O10" s="463">
        <f t="shared" si="2"/>
        <v>0</v>
      </c>
      <c r="P10" s="464">
        <f t="shared" si="3"/>
        <v>0</v>
      </c>
      <c r="R10" s="460" t="s">
        <v>302</v>
      </c>
      <c r="S10" s="463">
        <v>12</v>
      </c>
      <c r="T10" s="464">
        <v>864178.97000000032</v>
      </c>
      <c r="U10" s="463">
        <v>12</v>
      </c>
      <c r="V10" s="464">
        <v>887289.74000000011</v>
      </c>
    </row>
    <row r="11" spans="1:22" x14ac:dyDescent="0.2">
      <c r="A11" s="465" t="s">
        <v>303</v>
      </c>
      <c r="B11" s="463">
        <v>3</v>
      </c>
      <c r="C11" s="462">
        <v>265960.27983158064</v>
      </c>
      <c r="D11" s="463">
        <v>3</v>
      </c>
      <c r="E11" s="462">
        <v>275331.58924952411</v>
      </c>
      <c r="F11" s="463">
        <v>3</v>
      </c>
      <c r="G11" s="462">
        <v>285838.790168654</v>
      </c>
      <c r="H11" s="463">
        <v>3</v>
      </c>
      <c r="I11" s="464">
        <v>279239.78999999998</v>
      </c>
      <c r="J11" s="463">
        <v>3</v>
      </c>
      <c r="K11" s="464">
        <v>290442.13</v>
      </c>
      <c r="L11" s="435"/>
      <c r="M11" s="463">
        <f t="shared" si="0"/>
        <v>0</v>
      </c>
      <c r="N11" s="464">
        <f t="shared" si="1"/>
        <v>0</v>
      </c>
      <c r="O11" s="463">
        <f t="shared" si="2"/>
        <v>0</v>
      </c>
      <c r="P11" s="464">
        <f t="shared" si="3"/>
        <v>0</v>
      </c>
      <c r="R11" s="465" t="s">
        <v>303</v>
      </c>
      <c r="S11" s="463">
        <v>3</v>
      </c>
      <c r="T11" s="464">
        <v>279239.78999999998</v>
      </c>
      <c r="U11" s="463">
        <v>3</v>
      </c>
      <c r="V11" s="464">
        <v>290442.13</v>
      </c>
    </row>
    <row r="12" spans="1:22" x14ac:dyDescent="0.2">
      <c r="A12" s="465" t="s">
        <v>304</v>
      </c>
      <c r="B12" s="463">
        <v>73</v>
      </c>
      <c r="C12" s="462">
        <v>8828476.4980338104</v>
      </c>
      <c r="D12" s="463">
        <v>75.166666666666657</v>
      </c>
      <c r="E12" s="462">
        <v>9746993.6464599892</v>
      </c>
      <c r="F12" s="463">
        <v>83.416666666666657</v>
      </c>
      <c r="G12" s="462">
        <v>10714032.629419032</v>
      </c>
      <c r="H12" s="463">
        <v>90</v>
      </c>
      <c r="I12" s="464">
        <v>11889541.48</v>
      </c>
      <c r="J12" s="463">
        <v>90</v>
      </c>
      <c r="K12" s="464">
        <v>12543571.699999999</v>
      </c>
      <c r="L12" s="435"/>
      <c r="M12" s="463">
        <f t="shared" si="0"/>
        <v>0</v>
      </c>
      <c r="N12" s="464">
        <f t="shared" si="1"/>
        <v>0</v>
      </c>
      <c r="O12" s="463">
        <f t="shared" si="2"/>
        <v>0</v>
      </c>
      <c r="P12" s="464">
        <f t="shared" si="3"/>
        <v>0</v>
      </c>
      <c r="R12" s="465" t="s">
        <v>304</v>
      </c>
      <c r="S12" s="463">
        <v>90</v>
      </c>
      <c r="T12" s="464">
        <v>11889541.48</v>
      </c>
      <c r="U12" s="463">
        <v>90</v>
      </c>
      <c r="V12" s="464">
        <v>12543571.699999999</v>
      </c>
    </row>
    <row r="13" spans="1:22" x14ac:dyDescent="0.2">
      <c r="A13" s="460" t="s">
        <v>305</v>
      </c>
      <c r="B13" s="463">
        <v>42.75</v>
      </c>
      <c r="C13" s="462">
        <v>4629122.2177722221</v>
      </c>
      <c r="D13" s="463">
        <v>43</v>
      </c>
      <c r="E13" s="462">
        <v>5021071.5421850123</v>
      </c>
      <c r="F13" s="463">
        <v>44</v>
      </c>
      <c r="G13" s="462">
        <v>5206034.0731812157</v>
      </c>
      <c r="H13" s="463">
        <v>48</v>
      </c>
      <c r="I13" s="464">
        <v>5594134.04</v>
      </c>
      <c r="J13" s="463">
        <v>50</v>
      </c>
      <c r="K13" s="464">
        <v>5987384.2500000009</v>
      </c>
      <c r="L13" s="435"/>
      <c r="M13" s="463">
        <f t="shared" si="0"/>
        <v>0</v>
      </c>
      <c r="N13" s="464">
        <f t="shared" si="1"/>
        <v>0</v>
      </c>
      <c r="O13" s="463">
        <f t="shared" si="2"/>
        <v>0</v>
      </c>
      <c r="P13" s="464">
        <f t="shared" si="3"/>
        <v>0</v>
      </c>
      <c r="R13" s="460" t="s">
        <v>305</v>
      </c>
      <c r="S13" s="463">
        <v>48</v>
      </c>
      <c r="T13" s="464">
        <v>5594134.04</v>
      </c>
      <c r="U13" s="463">
        <v>50</v>
      </c>
      <c r="V13" s="464">
        <v>5987384.2500000009</v>
      </c>
    </row>
    <row r="14" spans="1:22" ht="12.75" customHeight="1" x14ac:dyDescent="0.2">
      <c r="A14" s="460" t="s">
        <v>306</v>
      </c>
      <c r="B14" s="463">
        <v>36.5</v>
      </c>
      <c r="C14" s="462">
        <v>3343769.1223701932</v>
      </c>
      <c r="D14" s="463">
        <v>36.166666666666664</v>
      </c>
      <c r="E14" s="462">
        <v>3629356.988155121</v>
      </c>
      <c r="F14" s="463">
        <v>37</v>
      </c>
      <c r="G14" s="462">
        <v>3966666.0123372539</v>
      </c>
      <c r="H14" s="463">
        <v>46</v>
      </c>
      <c r="I14" s="464">
        <v>4791516.21</v>
      </c>
      <c r="J14" s="463">
        <v>47</v>
      </c>
      <c r="K14" s="464">
        <v>5088631.49</v>
      </c>
      <c r="L14" s="435"/>
      <c r="M14" s="463">
        <f t="shared" si="0"/>
        <v>0</v>
      </c>
      <c r="N14" s="464">
        <f t="shared" si="1"/>
        <v>0</v>
      </c>
      <c r="O14" s="463">
        <f t="shared" si="2"/>
        <v>0</v>
      </c>
      <c r="P14" s="464">
        <f t="shared" si="3"/>
        <v>0</v>
      </c>
      <c r="R14" s="460" t="s">
        <v>306</v>
      </c>
      <c r="S14" s="463">
        <v>46</v>
      </c>
      <c r="T14" s="464">
        <v>4791516.21</v>
      </c>
      <c r="U14" s="463">
        <v>47</v>
      </c>
      <c r="V14" s="464">
        <v>5088631.49</v>
      </c>
    </row>
    <row r="15" spans="1:22" ht="12.75" customHeight="1" x14ac:dyDescent="0.2">
      <c r="A15" s="465" t="s">
        <v>307</v>
      </c>
      <c r="B15" s="463">
        <v>167.41666666666666</v>
      </c>
      <c r="C15" s="462">
        <v>9342588.4377534725</v>
      </c>
      <c r="D15" s="463">
        <v>162.83333333333331</v>
      </c>
      <c r="E15" s="462">
        <v>10066260.380160937</v>
      </c>
      <c r="F15" s="463">
        <v>161.25</v>
      </c>
      <c r="G15" s="462">
        <v>10356148.175140318</v>
      </c>
      <c r="H15" s="463">
        <v>172</v>
      </c>
      <c r="I15" s="464">
        <v>10755569.870000001</v>
      </c>
      <c r="J15" s="463">
        <v>177</v>
      </c>
      <c r="K15" s="464">
        <v>11833172.119999999</v>
      </c>
      <c r="L15" s="435"/>
      <c r="M15" s="463">
        <f t="shared" si="0"/>
        <v>0</v>
      </c>
      <c r="N15" s="464">
        <f t="shared" si="1"/>
        <v>0</v>
      </c>
      <c r="O15" s="463">
        <f t="shared" si="2"/>
        <v>0</v>
      </c>
      <c r="P15" s="464">
        <f t="shared" si="3"/>
        <v>0</v>
      </c>
      <c r="R15" s="465" t="s">
        <v>307</v>
      </c>
      <c r="S15" s="463">
        <v>172</v>
      </c>
      <c r="T15" s="464">
        <v>10755569.870000001</v>
      </c>
      <c r="U15" s="463">
        <v>177</v>
      </c>
      <c r="V15" s="464">
        <v>11833172.119999999</v>
      </c>
    </row>
    <row r="16" spans="1:22" ht="12.75" customHeight="1" x14ac:dyDescent="0.2">
      <c r="A16" s="465" t="s">
        <v>308</v>
      </c>
      <c r="B16" s="463">
        <v>19.75</v>
      </c>
      <c r="C16" s="462">
        <v>1218607.4579557187</v>
      </c>
      <c r="D16" s="463">
        <v>19.916666666666664</v>
      </c>
      <c r="E16" s="462">
        <v>1282441.0018781726</v>
      </c>
      <c r="F16" s="463">
        <v>19.083333333333332</v>
      </c>
      <c r="G16" s="462">
        <v>1227443.2386184037</v>
      </c>
      <c r="H16" s="463">
        <v>16</v>
      </c>
      <c r="I16" s="464">
        <v>1483530.63</v>
      </c>
      <c r="J16" s="463">
        <v>18</v>
      </c>
      <c r="K16" s="464">
        <v>1765029.8299999998</v>
      </c>
      <c r="L16" s="435"/>
      <c r="M16" s="463">
        <f t="shared" si="0"/>
        <v>0</v>
      </c>
      <c r="N16" s="464">
        <f t="shared" si="1"/>
        <v>0</v>
      </c>
      <c r="O16" s="463">
        <f t="shared" si="2"/>
        <v>1</v>
      </c>
      <c r="P16" s="464">
        <f t="shared" si="3"/>
        <v>185620.62999999966</v>
      </c>
      <c r="R16" s="465" t="s">
        <v>308</v>
      </c>
      <c r="S16" s="463">
        <v>16</v>
      </c>
      <c r="T16" s="464">
        <v>1483530.63</v>
      </c>
      <c r="U16" s="463">
        <v>17</v>
      </c>
      <c r="V16" s="464">
        <v>1579409.2000000002</v>
      </c>
    </row>
    <row r="17" spans="1:22" s="435" customFormat="1" x14ac:dyDescent="0.2">
      <c r="A17" s="465" t="s">
        <v>309</v>
      </c>
      <c r="B17" s="463">
        <v>18</v>
      </c>
      <c r="C17" s="462">
        <v>1080619.8163385752</v>
      </c>
      <c r="D17" s="463">
        <v>18</v>
      </c>
      <c r="E17" s="462">
        <v>939671.54552602244</v>
      </c>
      <c r="F17" s="463">
        <v>16.916666666666664</v>
      </c>
      <c r="G17" s="462">
        <v>843702.42767248361</v>
      </c>
      <c r="H17" s="463">
        <v>14</v>
      </c>
      <c r="I17" s="464">
        <v>783068.59000000008</v>
      </c>
      <c r="J17" s="463">
        <v>14</v>
      </c>
      <c r="K17" s="464">
        <v>822142.44000000018</v>
      </c>
      <c r="M17" s="463">
        <f t="shared" si="0"/>
        <v>0</v>
      </c>
      <c r="N17" s="464">
        <f t="shared" si="1"/>
        <v>0</v>
      </c>
      <c r="O17" s="463">
        <f t="shared" si="2"/>
        <v>0</v>
      </c>
      <c r="P17" s="464">
        <f t="shared" si="3"/>
        <v>0</v>
      </c>
      <c r="R17" s="465" t="s">
        <v>309</v>
      </c>
      <c r="S17" s="463">
        <v>14</v>
      </c>
      <c r="T17" s="464">
        <v>783068.59000000008</v>
      </c>
      <c r="U17" s="463">
        <v>14</v>
      </c>
      <c r="V17" s="464">
        <v>822142.44000000018</v>
      </c>
    </row>
    <row r="18" spans="1:22" s="435" customFormat="1" x14ac:dyDescent="0.2">
      <c r="A18" s="466" t="s">
        <v>310</v>
      </c>
      <c r="B18" s="463">
        <v>17.75</v>
      </c>
      <c r="C18" s="462">
        <v>2501426.3702750304</v>
      </c>
      <c r="D18" s="463">
        <v>17.833333333333336</v>
      </c>
      <c r="E18" s="462">
        <v>2668253.2897626488</v>
      </c>
      <c r="F18" s="463">
        <v>17.416666666666668</v>
      </c>
      <c r="G18" s="462">
        <v>2861258.3419533176</v>
      </c>
      <c r="H18" s="463">
        <v>17</v>
      </c>
      <c r="I18" s="464">
        <v>3015557.9699999997</v>
      </c>
      <c r="J18" s="467">
        <v>17</v>
      </c>
      <c r="K18" s="468">
        <v>3114628.7200000007</v>
      </c>
      <c r="M18" s="463">
        <f t="shared" si="0"/>
        <v>0</v>
      </c>
      <c r="N18" s="464">
        <f t="shared" si="1"/>
        <v>0</v>
      </c>
      <c r="O18" s="467">
        <f t="shared" si="2"/>
        <v>0</v>
      </c>
      <c r="P18" s="468">
        <f t="shared" si="3"/>
        <v>0</v>
      </c>
      <c r="R18" s="466" t="s">
        <v>310</v>
      </c>
      <c r="S18" s="463">
        <v>17</v>
      </c>
      <c r="T18" s="464">
        <v>3015557.9699999997</v>
      </c>
      <c r="U18" s="467">
        <v>17</v>
      </c>
      <c r="V18" s="468">
        <v>3114628.7200000007</v>
      </c>
    </row>
    <row r="19" spans="1:22" s="435" customFormat="1" ht="3" customHeight="1" x14ac:dyDescent="0.2">
      <c r="A19" s="469"/>
      <c r="B19" s="470"/>
      <c r="C19" s="471"/>
      <c r="D19" s="470"/>
      <c r="E19" s="471"/>
      <c r="F19" s="470"/>
      <c r="G19" s="471"/>
      <c r="H19" s="470"/>
      <c r="I19" s="471"/>
      <c r="J19" s="470"/>
      <c r="K19" s="471"/>
      <c r="M19" s="470"/>
      <c r="N19" s="471"/>
      <c r="O19" s="470"/>
      <c r="P19" s="471"/>
      <c r="R19" s="469"/>
      <c r="S19" s="470"/>
      <c r="T19" s="471"/>
      <c r="U19" s="470"/>
      <c r="V19" s="471"/>
    </row>
    <row r="20" spans="1:22" s="435" customFormat="1" ht="12" thickBot="1" x14ac:dyDescent="0.25">
      <c r="A20" s="472" t="s">
        <v>205</v>
      </c>
      <c r="B20" s="473">
        <f t="shared" ref="B20:C20" si="4">SUM(B9:B19)</f>
        <v>421.48333333333335</v>
      </c>
      <c r="C20" s="474">
        <f t="shared" si="4"/>
        <v>34864212.940002061</v>
      </c>
      <c r="D20" s="473">
        <f t="shared" ref="D20:K20" si="5">SUM(D9:D19)</f>
        <v>420</v>
      </c>
      <c r="E20" s="474">
        <f t="shared" si="5"/>
        <v>37352465.839995824</v>
      </c>
      <c r="F20" s="473">
        <f t="shared" si="5"/>
        <v>426.33666666666664</v>
      </c>
      <c r="G20" s="474">
        <f t="shared" si="5"/>
        <v>39789488.029984102</v>
      </c>
      <c r="H20" s="473">
        <f t="shared" si="5"/>
        <v>451</v>
      </c>
      <c r="I20" s="474">
        <f t="shared" si="5"/>
        <v>42709306.000000007</v>
      </c>
      <c r="J20" s="473">
        <f t="shared" si="5"/>
        <v>461</v>
      </c>
      <c r="K20" s="474">
        <f t="shared" si="5"/>
        <v>45740820.909999989</v>
      </c>
      <c r="M20" s="473">
        <f>IFERROR(H20-S20,"")</f>
        <v>0</v>
      </c>
      <c r="N20" s="474">
        <f>IFERROR(I20-T20,"")</f>
        <v>0</v>
      </c>
      <c r="O20" s="473">
        <f>IFERROR(J20-U20,"")</f>
        <v>1</v>
      </c>
      <c r="P20" s="474">
        <f>IFERROR(K20-V20,"")</f>
        <v>185620.62999999523</v>
      </c>
      <c r="R20" s="472" t="s">
        <v>205</v>
      </c>
      <c r="S20" s="473">
        <v>451</v>
      </c>
      <c r="T20" s="474">
        <v>42709306.000000007</v>
      </c>
      <c r="U20" s="473">
        <v>460</v>
      </c>
      <c r="V20" s="474">
        <v>45555200.279999994</v>
      </c>
    </row>
    <row r="21" spans="1:22" ht="12" thickTop="1" x14ac:dyDescent="0.2">
      <c r="A21" s="475"/>
      <c r="B21" s="477"/>
      <c r="C21" s="476"/>
      <c r="D21" s="477"/>
      <c r="E21" s="476"/>
      <c r="F21" s="477"/>
      <c r="G21" s="476"/>
      <c r="H21" s="477"/>
      <c r="I21" s="476"/>
      <c r="J21" s="477"/>
      <c r="K21" s="476"/>
      <c r="L21" s="435"/>
      <c r="M21" s="477"/>
      <c r="N21" s="476"/>
      <c r="O21" s="477"/>
      <c r="P21" s="476"/>
      <c r="R21" s="475"/>
      <c r="S21" s="477"/>
      <c r="T21" s="476"/>
      <c r="U21" s="477"/>
      <c r="V21" s="476"/>
    </row>
    <row r="22" spans="1:22" x14ac:dyDescent="0.2">
      <c r="A22" s="476"/>
      <c r="B22" s="478"/>
      <c r="C22" s="479"/>
      <c r="D22" s="478"/>
      <c r="E22" s="479"/>
      <c r="F22" s="478"/>
      <c r="G22" s="479"/>
      <c r="H22" s="478"/>
      <c r="I22" s="476"/>
      <c r="J22" s="478"/>
      <c r="K22" s="478"/>
      <c r="L22" s="435"/>
      <c r="M22" s="478"/>
      <c r="N22" s="476"/>
      <c r="O22" s="478"/>
      <c r="P22" s="478"/>
      <c r="R22" s="476"/>
      <c r="S22" s="478"/>
      <c r="T22" s="476"/>
      <c r="U22" s="478"/>
      <c r="V22" s="478"/>
    </row>
    <row r="23" spans="1:22" x14ac:dyDescent="0.2">
      <c r="A23" s="480" t="s">
        <v>311</v>
      </c>
      <c r="B23" s="482"/>
      <c r="C23" s="481"/>
      <c r="D23" s="482"/>
      <c r="E23" s="481"/>
      <c r="F23" s="482"/>
      <c r="G23" s="481"/>
      <c r="H23" s="482"/>
      <c r="I23" s="481"/>
      <c r="J23" s="482"/>
      <c r="K23" s="481"/>
      <c r="L23" s="435"/>
      <c r="M23" s="482"/>
      <c r="N23" s="481"/>
      <c r="O23" s="482"/>
      <c r="P23" s="481"/>
      <c r="R23" s="480" t="s">
        <v>311</v>
      </c>
      <c r="S23" s="482"/>
      <c r="T23" s="481"/>
      <c r="U23" s="482"/>
      <c r="V23" s="481"/>
    </row>
    <row r="24" spans="1:22" x14ac:dyDescent="0.2">
      <c r="A24" s="455" t="s">
        <v>301</v>
      </c>
      <c r="B24" s="456">
        <v>31.31666666666667</v>
      </c>
      <c r="C24" s="457">
        <v>2595385.4219191382</v>
      </c>
      <c r="D24" s="456">
        <v>31.583333333333332</v>
      </c>
      <c r="E24" s="457">
        <v>2569261.1230295026</v>
      </c>
      <c r="F24" s="456">
        <v>31.253333333333334</v>
      </c>
      <c r="G24" s="457">
        <v>3023616.6797908684</v>
      </c>
      <c r="H24" s="456">
        <v>33</v>
      </c>
      <c r="I24" s="457">
        <v>2782318.5700000003</v>
      </c>
      <c r="J24" s="456">
        <v>33</v>
      </c>
      <c r="K24" s="457">
        <v>2881513.85</v>
      </c>
      <c r="L24" s="435"/>
      <c r="M24" s="456">
        <f t="shared" ref="M24:M33" si="6">IFERROR(H24-S24,"")</f>
        <v>0</v>
      </c>
      <c r="N24" s="457">
        <f t="shared" ref="N24:N33" si="7">IFERROR(I24-T24,"")</f>
        <v>0</v>
      </c>
      <c r="O24" s="456">
        <f t="shared" ref="O24:O33" si="8">IFERROR(J24-U24,"")</f>
        <v>0</v>
      </c>
      <c r="P24" s="457">
        <f t="shared" ref="P24:P33" si="9">IFERROR(K24-V24,"")</f>
        <v>0</v>
      </c>
      <c r="R24" s="455" t="s">
        <v>301</v>
      </c>
      <c r="S24" s="456">
        <v>33</v>
      </c>
      <c r="T24" s="457">
        <v>2782318.5700000003</v>
      </c>
      <c r="U24" s="456">
        <v>33</v>
      </c>
      <c r="V24" s="457">
        <v>2881513.85</v>
      </c>
    </row>
    <row r="25" spans="1:22" x14ac:dyDescent="0.2">
      <c r="A25" s="460" t="s">
        <v>302</v>
      </c>
      <c r="B25" s="461">
        <v>12</v>
      </c>
      <c r="C25" s="462">
        <v>544812.09218101017</v>
      </c>
      <c r="D25" s="461">
        <v>12.5</v>
      </c>
      <c r="E25" s="462">
        <v>633674.4252836759</v>
      </c>
      <c r="F25" s="461">
        <v>13</v>
      </c>
      <c r="G25" s="462">
        <v>675607.67229353543</v>
      </c>
      <c r="H25" s="461">
        <v>12</v>
      </c>
      <c r="I25" s="462">
        <v>675599.4700000002</v>
      </c>
      <c r="J25" s="461">
        <v>12</v>
      </c>
      <c r="K25" s="462">
        <v>691718.1100000001</v>
      </c>
      <c r="L25" s="435"/>
      <c r="M25" s="461">
        <f t="shared" si="6"/>
        <v>0</v>
      </c>
      <c r="N25" s="462">
        <f t="shared" si="7"/>
        <v>0</v>
      </c>
      <c r="O25" s="461">
        <f t="shared" si="8"/>
        <v>0</v>
      </c>
      <c r="P25" s="462">
        <f t="shared" si="9"/>
        <v>0</v>
      </c>
      <c r="R25" s="460" t="s">
        <v>302</v>
      </c>
      <c r="S25" s="461">
        <v>12</v>
      </c>
      <c r="T25" s="462">
        <v>675599.4700000002</v>
      </c>
      <c r="U25" s="461">
        <v>12</v>
      </c>
      <c r="V25" s="462">
        <v>691718.1100000001</v>
      </c>
    </row>
    <row r="26" spans="1:22" x14ac:dyDescent="0.2">
      <c r="A26" s="465" t="s">
        <v>303</v>
      </c>
      <c r="B26" s="461">
        <v>2.6341666666666668</v>
      </c>
      <c r="C26" s="462">
        <v>199567.22330431684</v>
      </c>
      <c r="D26" s="461">
        <v>2.4233333333333333</v>
      </c>
      <c r="E26" s="462">
        <v>191550.7186711237</v>
      </c>
      <c r="F26" s="461">
        <v>2.5558333333333336</v>
      </c>
      <c r="G26" s="462">
        <v>203737.03115135623</v>
      </c>
      <c r="H26" s="461">
        <v>2.4</v>
      </c>
      <c r="I26" s="462">
        <v>191286.78999999998</v>
      </c>
      <c r="J26" s="461">
        <v>2.4</v>
      </c>
      <c r="K26" s="462">
        <v>197653.97999999998</v>
      </c>
      <c r="L26" s="435"/>
      <c r="M26" s="461">
        <f t="shared" si="6"/>
        <v>0</v>
      </c>
      <c r="N26" s="462">
        <f t="shared" si="7"/>
        <v>0</v>
      </c>
      <c r="O26" s="461">
        <f t="shared" si="8"/>
        <v>0</v>
      </c>
      <c r="P26" s="462">
        <f t="shared" si="9"/>
        <v>0</v>
      </c>
      <c r="R26" s="465" t="s">
        <v>303</v>
      </c>
      <c r="S26" s="461">
        <v>2.4</v>
      </c>
      <c r="T26" s="462">
        <v>191286.78999999998</v>
      </c>
      <c r="U26" s="461">
        <v>2.4</v>
      </c>
      <c r="V26" s="462">
        <v>197653.97999999998</v>
      </c>
    </row>
    <row r="27" spans="1:22" x14ac:dyDescent="0.2">
      <c r="A27" s="465" t="s">
        <v>304</v>
      </c>
      <c r="B27" s="461">
        <v>64.002499999999998</v>
      </c>
      <c r="C27" s="462">
        <v>5218936.589565766</v>
      </c>
      <c r="D27" s="461">
        <v>65.055000000000007</v>
      </c>
      <c r="E27" s="462">
        <v>5463032.1962976241</v>
      </c>
      <c r="F27" s="461">
        <v>72.36333333333333</v>
      </c>
      <c r="G27" s="462">
        <v>6039122.0411364585</v>
      </c>
      <c r="H27" s="461">
        <v>72.5</v>
      </c>
      <c r="I27" s="462">
        <v>6701628.1600000011</v>
      </c>
      <c r="J27" s="461">
        <v>72.5</v>
      </c>
      <c r="K27" s="462">
        <v>7048664.1699999999</v>
      </c>
      <c r="L27" s="435"/>
      <c r="M27" s="461">
        <f t="shared" si="6"/>
        <v>0</v>
      </c>
      <c r="N27" s="462">
        <f t="shared" si="7"/>
        <v>0</v>
      </c>
      <c r="O27" s="461">
        <f t="shared" si="8"/>
        <v>0</v>
      </c>
      <c r="P27" s="462">
        <f t="shared" si="9"/>
        <v>0</v>
      </c>
      <c r="R27" s="465" t="s">
        <v>304</v>
      </c>
      <c r="S27" s="461">
        <v>72.5</v>
      </c>
      <c r="T27" s="462">
        <v>6701628.1600000011</v>
      </c>
      <c r="U27" s="461">
        <v>72.5</v>
      </c>
      <c r="V27" s="462">
        <v>7048664.1699999999</v>
      </c>
    </row>
    <row r="28" spans="1:22" x14ac:dyDescent="0.2">
      <c r="A28" s="460" t="s">
        <v>305</v>
      </c>
      <c r="B28" s="461">
        <v>39.144999999999996</v>
      </c>
      <c r="C28" s="462">
        <v>2817448.6743540876</v>
      </c>
      <c r="D28" s="461">
        <v>40.338333333333338</v>
      </c>
      <c r="E28" s="462">
        <v>3005922.4573230767</v>
      </c>
      <c r="F28" s="461">
        <v>40.265833333333333</v>
      </c>
      <c r="G28" s="462">
        <v>3036412.6798058865</v>
      </c>
      <c r="H28" s="461">
        <v>41.81</v>
      </c>
      <c r="I28" s="462">
        <v>3172406.75</v>
      </c>
      <c r="J28" s="461">
        <v>43.81</v>
      </c>
      <c r="K28" s="462">
        <v>3463440.3000000003</v>
      </c>
      <c r="L28" s="435"/>
      <c r="M28" s="461">
        <f t="shared" si="6"/>
        <v>0</v>
      </c>
      <c r="N28" s="462">
        <f t="shared" si="7"/>
        <v>0</v>
      </c>
      <c r="O28" s="461">
        <f t="shared" si="8"/>
        <v>0</v>
      </c>
      <c r="P28" s="462">
        <f t="shared" si="9"/>
        <v>0</v>
      </c>
      <c r="R28" s="460" t="s">
        <v>305</v>
      </c>
      <c r="S28" s="461">
        <v>41.81</v>
      </c>
      <c r="T28" s="462">
        <v>3172406.75</v>
      </c>
      <c r="U28" s="461">
        <v>43.81</v>
      </c>
      <c r="V28" s="462">
        <v>3463440.3000000003</v>
      </c>
    </row>
    <row r="29" spans="1:22" ht="12.75" customHeight="1" x14ac:dyDescent="0.2">
      <c r="A29" s="460" t="s">
        <v>306</v>
      </c>
      <c r="B29" s="461">
        <v>30.764166666666668</v>
      </c>
      <c r="C29" s="462">
        <v>2415047.7293688166</v>
      </c>
      <c r="D29" s="461">
        <v>28.963333333333331</v>
      </c>
      <c r="E29" s="462">
        <v>2469028.8421941781</v>
      </c>
      <c r="F29" s="461">
        <v>29.073333333333334</v>
      </c>
      <c r="G29" s="462">
        <v>2512978.5951320571</v>
      </c>
      <c r="H29" s="461">
        <v>35.71</v>
      </c>
      <c r="I29" s="462">
        <v>3008201.82</v>
      </c>
      <c r="J29" s="461">
        <v>36.71</v>
      </c>
      <c r="K29" s="462">
        <v>3233621.36</v>
      </c>
      <c r="L29" s="435"/>
      <c r="M29" s="461">
        <f t="shared" si="6"/>
        <v>0</v>
      </c>
      <c r="N29" s="462">
        <f t="shared" si="7"/>
        <v>0</v>
      </c>
      <c r="O29" s="461">
        <f t="shared" si="8"/>
        <v>0</v>
      </c>
      <c r="P29" s="462">
        <f t="shared" si="9"/>
        <v>0</v>
      </c>
      <c r="R29" s="460" t="s">
        <v>306</v>
      </c>
      <c r="S29" s="461">
        <v>35.71</v>
      </c>
      <c r="T29" s="462">
        <v>3008201.82</v>
      </c>
      <c r="U29" s="461">
        <v>36.71</v>
      </c>
      <c r="V29" s="462">
        <v>3233621.36</v>
      </c>
    </row>
    <row r="30" spans="1:22" ht="12.75" customHeight="1" x14ac:dyDescent="0.2">
      <c r="A30" s="465" t="s">
        <v>307</v>
      </c>
      <c r="B30" s="461">
        <v>123.02750000000002</v>
      </c>
      <c r="C30" s="462">
        <v>6461865.8627787959</v>
      </c>
      <c r="D30" s="461">
        <v>119.71250000000001</v>
      </c>
      <c r="E30" s="462">
        <v>6571422.5687441705</v>
      </c>
      <c r="F30" s="461">
        <v>117.49916666666668</v>
      </c>
      <c r="G30" s="462">
        <v>6500371.1665749317</v>
      </c>
      <c r="H30" s="461">
        <v>124.55</v>
      </c>
      <c r="I30" s="462">
        <v>6750059.8799999999</v>
      </c>
      <c r="J30" s="461">
        <v>129.55000000000001</v>
      </c>
      <c r="K30" s="462">
        <v>7468916.9899999993</v>
      </c>
      <c r="L30" s="435"/>
      <c r="M30" s="461">
        <f t="shared" si="6"/>
        <v>0</v>
      </c>
      <c r="N30" s="462">
        <f t="shared" si="7"/>
        <v>0</v>
      </c>
      <c r="O30" s="461">
        <f t="shared" si="8"/>
        <v>0</v>
      </c>
      <c r="P30" s="462">
        <f t="shared" si="9"/>
        <v>0</v>
      </c>
      <c r="R30" s="465" t="s">
        <v>307</v>
      </c>
      <c r="S30" s="461">
        <v>124.55</v>
      </c>
      <c r="T30" s="462">
        <v>6750059.8799999999</v>
      </c>
      <c r="U30" s="461">
        <v>129.55000000000001</v>
      </c>
      <c r="V30" s="462">
        <v>7468916.9899999993</v>
      </c>
    </row>
    <row r="31" spans="1:22" ht="12.75" customHeight="1" x14ac:dyDescent="0.2">
      <c r="A31" s="465" t="s">
        <v>308</v>
      </c>
      <c r="B31" s="461">
        <v>19.524166666666666</v>
      </c>
      <c r="C31" s="462">
        <v>913362.72680174187</v>
      </c>
      <c r="D31" s="461">
        <v>20.483333333333334</v>
      </c>
      <c r="E31" s="462">
        <v>958577.74659618153</v>
      </c>
      <c r="F31" s="461">
        <v>19.38</v>
      </c>
      <c r="G31" s="462">
        <v>901902.06675325905</v>
      </c>
      <c r="H31" s="461">
        <v>14.59</v>
      </c>
      <c r="I31" s="462">
        <v>1146580.18</v>
      </c>
      <c r="J31" s="461">
        <v>16.59</v>
      </c>
      <c r="K31" s="462">
        <v>1376535.51</v>
      </c>
      <c r="L31" s="435"/>
      <c r="M31" s="461">
        <f t="shared" si="6"/>
        <v>0</v>
      </c>
      <c r="N31" s="462">
        <f t="shared" si="7"/>
        <v>0</v>
      </c>
      <c r="O31" s="461">
        <f t="shared" si="8"/>
        <v>2</v>
      </c>
      <c r="P31" s="462">
        <f t="shared" si="9"/>
        <v>173020.61999999988</v>
      </c>
      <c r="R31" s="465" t="s">
        <v>308</v>
      </c>
      <c r="S31" s="461">
        <v>14.59</v>
      </c>
      <c r="T31" s="462">
        <v>1146580.18</v>
      </c>
      <c r="U31" s="461">
        <v>14.59</v>
      </c>
      <c r="V31" s="462">
        <v>1203514.8900000001</v>
      </c>
    </row>
    <row r="32" spans="1:22" x14ac:dyDescent="0.2">
      <c r="A32" s="465" t="s">
        <v>309</v>
      </c>
      <c r="B32" s="461">
        <v>14.009166666666665</v>
      </c>
      <c r="C32" s="462">
        <v>766614.95529004023</v>
      </c>
      <c r="D32" s="461">
        <v>11.311666666666666</v>
      </c>
      <c r="E32" s="462">
        <v>646343.93853312847</v>
      </c>
      <c r="F32" s="461">
        <v>9.5050000000000008</v>
      </c>
      <c r="G32" s="462">
        <v>571845.62318012642</v>
      </c>
      <c r="H32" s="461">
        <v>8.120000000000001</v>
      </c>
      <c r="I32" s="462">
        <v>466088.56000000006</v>
      </c>
      <c r="J32" s="461">
        <v>8.120000000000001</v>
      </c>
      <c r="K32" s="462">
        <v>489759.64999999997</v>
      </c>
      <c r="L32" s="435"/>
      <c r="M32" s="461">
        <f t="shared" si="6"/>
        <v>0</v>
      </c>
      <c r="N32" s="462">
        <f t="shared" si="7"/>
        <v>0</v>
      </c>
      <c r="O32" s="461">
        <f t="shared" si="8"/>
        <v>0</v>
      </c>
      <c r="P32" s="462">
        <f t="shared" si="9"/>
        <v>0</v>
      </c>
      <c r="R32" s="465" t="s">
        <v>309</v>
      </c>
      <c r="S32" s="461">
        <v>8.120000000000001</v>
      </c>
      <c r="T32" s="462">
        <v>466088.56000000006</v>
      </c>
      <c r="U32" s="461">
        <v>8.120000000000001</v>
      </c>
      <c r="V32" s="462">
        <v>489759.64999999997</v>
      </c>
    </row>
    <row r="33" spans="1:22" x14ac:dyDescent="0.2">
      <c r="A33" s="466" t="s">
        <v>310</v>
      </c>
      <c r="B33" s="461">
        <v>15.600000000000001</v>
      </c>
      <c r="C33" s="462">
        <v>1341214.9944382738</v>
      </c>
      <c r="D33" s="461">
        <v>15.740000000000002</v>
      </c>
      <c r="E33" s="462">
        <v>1420453.7533231943</v>
      </c>
      <c r="F33" s="461">
        <v>16.253333333333334</v>
      </c>
      <c r="G33" s="462">
        <v>1474832.684165291</v>
      </c>
      <c r="H33" s="461">
        <v>16.329999999999998</v>
      </c>
      <c r="I33" s="462">
        <v>1643777.58</v>
      </c>
      <c r="J33" s="461">
        <v>16.329999999999998</v>
      </c>
      <c r="K33" s="462">
        <v>1696431.6</v>
      </c>
      <c r="L33" s="435"/>
      <c r="M33" s="461">
        <f t="shared" si="6"/>
        <v>0</v>
      </c>
      <c r="N33" s="462">
        <f t="shared" si="7"/>
        <v>0</v>
      </c>
      <c r="O33" s="461">
        <f t="shared" si="8"/>
        <v>0</v>
      </c>
      <c r="P33" s="462">
        <f t="shared" si="9"/>
        <v>0</v>
      </c>
      <c r="R33" s="466" t="s">
        <v>310</v>
      </c>
      <c r="S33" s="461">
        <v>16.329999999999998</v>
      </c>
      <c r="T33" s="462">
        <v>1643777.58</v>
      </c>
      <c r="U33" s="461">
        <v>16.329999999999998</v>
      </c>
      <c r="V33" s="462">
        <v>1696431.6</v>
      </c>
    </row>
    <row r="34" spans="1:22" ht="3" customHeight="1" x14ac:dyDescent="0.2">
      <c r="A34" s="469"/>
      <c r="B34" s="470"/>
      <c r="C34" s="471"/>
      <c r="D34" s="470"/>
      <c r="E34" s="471"/>
      <c r="F34" s="470"/>
      <c r="G34" s="471"/>
      <c r="H34" s="470"/>
      <c r="I34" s="471"/>
      <c r="J34" s="470"/>
      <c r="K34" s="471"/>
      <c r="L34" s="435"/>
      <c r="M34" s="470"/>
      <c r="N34" s="471"/>
      <c r="O34" s="470"/>
      <c r="P34" s="471"/>
      <c r="R34" s="469"/>
      <c r="S34" s="470"/>
      <c r="T34" s="471"/>
      <c r="U34" s="470"/>
      <c r="V34" s="471"/>
    </row>
    <row r="35" spans="1:22" ht="12" thickBot="1" x14ac:dyDescent="0.25">
      <c r="A35" s="472" t="s">
        <v>205</v>
      </c>
      <c r="B35" s="473">
        <f t="shared" ref="B35:K35" si="10">SUM(B24:B34)</f>
        <v>352.02333333333337</v>
      </c>
      <c r="C35" s="474">
        <f t="shared" si="10"/>
        <v>23274256.270001985</v>
      </c>
      <c r="D35" s="473">
        <f t="shared" si="10"/>
        <v>348.11083333333335</v>
      </c>
      <c r="E35" s="474">
        <f t="shared" si="10"/>
        <v>23929267.769995853</v>
      </c>
      <c r="F35" s="473">
        <f t="shared" si="10"/>
        <v>351.14916666666664</v>
      </c>
      <c r="G35" s="474">
        <f t="shared" si="10"/>
        <v>24940426.239983771</v>
      </c>
      <c r="H35" s="473">
        <f t="shared" si="10"/>
        <v>361.01</v>
      </c>
      <c r="I35" s="474">
        <f t="shared" si="10"/>
        <v>26537947.759999998</v>
      </c>
      <c r="J35" s="473">
        <f t="shared" si="10"/>
        <v>371.01</v>
      </c>
      <c r="K35" s="474">
        <f t="shared" si="10"/>
        <v>28548255.52</v>
      </c>
      <c r="L35" s="435"/>
      <c r="M35" s="473">
        <f>IFERROR(H35-S35,"")</f>
        <v>0</v>
      </c>
      <c r="N35" s="474">
        <f>IFERROR(I35-T35,"")</f>
        <v>0</v>
      </c>
      <c r="O35" s="473">
        <f>IFERROR(J35-U35,"")</f>
        <v>2</v>
      </c>
      <c r="P35" s="474">
        <f>IFERROR(K35-V35,"")</f>
        <v>173020.62000000104</v>
      </c>
      <c r="R35" s="472" t="s">
        <v>205</v>
      </c>
      <c r="S35" s="473">
        <v>361.01</v>
      </c>
      <c r="T35" s="474">
        <v>26537947.759999998</v>
      </c>
      <c r="U35" s="473">
        <v>369.01</v>
      </c>
      <c r="V35" s="474">
        <v>28375234.899999999</v>
      </c>
    </row>
    <row r="36" spans="1:22" ht="12" thickTop="1" x14ac:dyDescent="0.2">
      <c r="A36" s="475"/>
      <c r="B36" s="477"/>
      <c r="C36" s="476"/>
      <c r="D36" s="477"/>
      <c r="E36" s="476"/>
      <c r="F36" s="477"/>
      <c r="G36" s="476"/>
      <c r="H36" s="477"/>
      <c r="I36" s="476"/>
      <c r="J36" s="477"/>
      <c r="K36" s="476"/>
      <c r="L36" s="435"/>
      <c r="M36" s="477"/>
      <c r="N36" s="476"/>
      <c r="O36" s="477"/>
      <c r="P36" s="476"/>
      <c r="R36" s="475"/>
      <c r="S36" s="477"/>
      <c r="T36" s="476"/>
      <c r="U36" s="477"/>
      <c r="V36" s="476"/>
    </row>
    <row r="37" spans="1:22" ht="12.75" x14ac:dyDescent="0.2">
      <c r="A37" s="476"/>
      <c r="B37" s="483"/>
      <c r="C37" s="483"/>
      <c r="D37" s="483"/>
      <c r="E37" s="483"/>
      <c r="F37" s="483"/>
      <c r="G37" s="483"/>
      <c r="H37" s="483"/>
      <c r="I37" s="483"/>
      <c r="J37" s="483"/>
      <c r="K37" s="484"/>
      <c r="L37" s="435"/>
      <c r="M37" s="483"/>
      <c r="N37" s="483"/>
      <c r="O37" s="483"/>
      <c r="P37" s="484"/>
      <c r="R37" s="476"/>
      <c r="S37" s="483"/>
      <c r="T37" s="483"/>
      <c r="U37" s="483"/>
      <c r="V37" s="484"/>
    </row>
    <row r="38" spans="1:22" x14ac:dyDescent="0.2">
      <c r="A38" s="485" t="s">
        <v>312</v>
      </c>
      <c r="B38" s="487"/>
      <c r="C38" s="486"/>
      <c r="D38" s="487"/>
      <c r="E38" s="486"/>
      <c r="F38" s="487"/>
      <c r="G38" s="486"/>
      <c r="H38" s="487"/>
      <c r="I38" s="486"/>
      <c r="J38" s="487"/>
      <c r="K38" s="486"/>
      <c r="L38" s="435"/>
      <c r="M38" s="487"/>
      <c r="N38" s="486"/>
      <c r="O38" s="487"/>
      <c r="P38" s="486"/>
      <c r="R38" s="485" t="s">
        <v>312</v>
      </c>
      <c r="S38" s="487"/>
      <c r="T38" s="486"/>
      <c r="U38" s="487"/>
      <c r="V38" s="486"/>
    </row>
    <row r="39" spans="1:22" x14ac:dyDescent="0.2">
      <c r="A39" s="455" t="s">
        <v>301</v>
      </c>
      <c r="B39" s="456">
        <v>0</v>
      </c>
      <c r="C39" s="457">
        <v>369898.50970842049</v>
      </c>
      <c r="D39" s="456">
        <v>0</v>
      </c>
      <c r="E39" s="457">
        <v>360682.96208593377</v>
      </c>
      <c r="F39" s="456">
        <v>0</v>
      </c>
      <c r="G39" s="457">
        <v>431545.0868902604</v>
      </c>
      <c r="H39" s="456">
        <v>0</v>
      </c>
      <c r="I39" s="457">
        <v>470649.88</v>
      </c>
      <c r="J39" s="456">
        <v>0</v>
      </c>
      <c r="K39" s="457">
        <v>527014.64</v>
      </c>
      <c r="L39" s="435"/>
      <c r="M39" s="456">
        <f t="shared" ref="M39:M48" si="11">IFERROR(H39-S39,"")</f>
        <v>0</v>
      </c>
      <c r="N39" s="457">
        <f t="shared" ref="N39:N48" si="12">IFERROR(I39-T39,"")</f>
        <v>0</v>
      </c>
      <c r="O39" s="456">
        <f t="shared" ref="O39:O48" si="13">IFERROR(J39-U39,"")</f>
        <v>0</v>
      </c>
      <c r="P39" s="457">
        <f t="shared" ref="P39:P48" si="14">IFERROR(K39-V39,"")</f>
        <v>0</v>
      </c>
      <c r="R39" s="455" t="s">
        <v>301</v>
      </c>
      <c r="S39" s="456"/>
      <c r="T39" s="457">
        <v>470649.88</v>
      </c>
      <c r="U39" s="456">
        <v>0</v>
      </c>
      <c r="V39" s="457">
        <v>527014.64</v>
      </c>
    </row>
    <row r="40" spans="1:22" x14ac:dyDescent="0.2">
      <c r="A40" s="460" t="s">
        <v>302</v>
      </c>
      <c r="B40" s="461">
        <v>0</v>
      </c>
      <c r="C40" s="462">
        <v>111004.037701578</v>
      </c>
      <c r="D40" s="461">
        <v>0</v>
      </c>
      <c r="E40" s="462">
        <v>119745.20819533803</v>
      </c>
      <c r="F40" s="461">
        <v>0</v>
      </c>
      <c r="G40" s="462">
        <v>131327.66919076737</v>
      </c>
      <c r="H40" s="461">
        <v>0</v>
      </c>
      <c r="I40" s="462">
        <v>119856.17</v>
      </c>
      <c r="J40" s="461">
        <v>0</v>
      </c>
      <c r="K40" s="462">
        <v>124786.30000000002</v>
      </c>
      <c r="L40" s="435"/>
      <c r="M40" s="461">
        <f t="shared" si="11"/>
        <v>0</v>
      </c>
      <c r="N40" s="462">
        <f t="shared" si="12"/>
        <v>0</v>
      </c>
      <c r="O40" s="461">
        <f t="shared" si="13"/>
        <v>0</v>
      </c>
      <c r="P40" s="462">
        <f t="shared" si="14"/>
        <v>0</v>
      </c>
      <c r="R40" s="460" t="s">
        <v>302</v>
      </c>
      <c r="S40" s="461"/>
      <c r="T40" s="462">
        <v>119856.17</v>
      </c>
      <c r="U40" s="461">
        <v>0</v>
      </c>
      <c r="V40" s="462">
        <v>124786.30000000002</v>
      </c>
    </row>
    <row r="41" spans="1:22" x14ac:dyDescent="0.2">
      <c r="A41" s="465" t="s">
        <v>303</v>
      </c>
      <c r="B41" s="461">
        <v>0</v>
      </c>
      <c r="C41" s="462">
        <v>44141.22658440104</v>
      </c>
      <c r="D41" s="461">
        <v>0</v>
      </c>
      <c r="E41" s="462">
        <v>58739.113692452316</v>
      </c>
      <c r="F41" s="461">
        <v>0</v>
      </c>
      <c r="G41" s="462">
        <v>47665.559093308279</v>
      </c>
      <c r="H41" s="461">
        <v>0</v>
      </c>
      <c r="I41" s="462">
        <v>51747</v>
      </c>
      <c r="J41" s="461">
        <v>0</v>
      </c>
      <c r="K41" s="462">
        <v>55315.080000000009</v>
      </c>
      <c r="L41" s="435"/>
      <c r="M41" s="461">
        <f t="shared" si="11"/>
        <v>0</v>
      </c>
      <c r="N41" s="462">
        <f t="shared" si="12"/>
        <v>0</v>
      </c>
      <c r="O41" s="461">
        <f t="shared" si="13"/>
        <v>0</v>
      </c>
      <c r="P41" s="462">
        <f t="shared" si="14"/>
        <v>0</v>
      </c>
      <c r="R41" s="465" t="s">
        <v>303</v>
      </c>
      <c r="S41" s="461"/>
      <c r="T41" s="462">
        <v>51747</v>
      </c>
      <c r="U41" s="461">
        <v>0</v>
      </c>
      <c r="V41" s="462">
        <v>55315.080000000009</v>
      </c>
    </row>
    <row r="42" spans="1:22" x14ac:dyDescent="0.2">
      <c r="A42" s="465" t="s">
        <v>304</v>
      </c>
      <c r="B42" s="461">
        <v>0</v>
      </c>
      <c r="C42" s="462">
        <v>1127905.7416358048</v>
      </c>
      <c r="D42" s="461">
        <v>0</v>
      </c>
      <c r="E42" s="462">
        <v>1207037.6905864875</v>
      </c>
      <c r="F42" s="461">
        <v>0</v>
      </c>
      <c r="G42" s="462">
        <v>1244148.3984810065</v>
      </c>
      <c r="H42" s="461">
        <v>0</v>
      </c>
      <c r="I42" s="462">
        <v>1360575.5399999998</v>
      </c>
      <c r="J42" s="461">
        <v>0</v>
      </c>
      <c r="K42" s="462">
        <v>1471623.29</v>
      </c>
      <c r="L42" s="435"/>
      <c r="M42" s="461">
        <f t="shared" si="11"/>
        <v>0</v>
      </c>
      <c r="N42" s="462">
        <f t="shared" si="12"/>
        <v>0</v>
      </c>
      <c r="O42" s="461">
        <f t="shared" si="13"/>
        <v>0</v>
      </c>
      <c r="P42" s="462">
        <f t="shared" si="14"/>
        <v>0</v>
      </c>
      <c r="R42" s="465" t="s">
        <v>304</v>
      </c>
      <c r="S42" s="461"/>
      <c r="T42" s="462">
        <v>1360575.5399999998</v>
      </c>
      <c r="U42" s="461">
        <v>0</v>
      </c>
      <c r="V42" s="462">
        <v>1471623.29</v>
      </c>
    </row>
    <row r="43" spans="1:22" x14ac:dyDescent="0.2">
      <c r="A43" s="460" t="s">
        <v>305</v>
      </c>
      <c r="B43" s="461">
        <v>0</v>
      </c>
      <c r="C43" s="462">
        <v>432664.60430101107</v>
      </c>
      <c r="D43" s="461">
        <v>0</v>
      </c>
      <c r="E43" s="462">
        <v>426670.36018229893</v>
      </c>
      <c r="F43" s="461">
        <v>0</v>
      </c>
      <c r="G43" s="462">
        <v>474049.2661128547</v>
      </c>
      <c r="H43" s="461">
        <v>0</v>
      </c>
      <c r="I43" s="462">
        <v>642358.18999999994</v>
      </c>
      <c r="J43" s="461">
        <v>0</v>
      </c>
      <c r="K43" s="462">
        <v>689504.67999999993</v>
      </c>
      <c r="L43" s="435"/>
      <c r="M43" s="461">
        <f t="shared" si="11"/>
        <v>0</v>
      </c>
      <c r="N43" s="462">
        <f t="shared" si="12"/>
        <v>0</v>
      </c>
      <c r="O43" s="461">
        <f t="shared" si="13"/>
        <v>0</v>
      </c>
      <c r="P43" s="462">
        <f t="shared" si="14"/>
        <v>0</v>
      </c>
      <c r="R43" s="460" t="s">
        <v>305</v>
      </c>
      <c r="S43" s="461"/>
      <c r="T43" s="462">
        <v>642358.18999999994</v>
      </c>
      <c r="U43" s="461">
        <v>0</v>
      </c>
      <c r="V43" s="462">
        <v>689504.67999999993</v>
      </c>
    </row>
    <row r="44" spans="1:22" x14ac:dyDescent="0.2">
      <c r="A44" s="460" t="s">
        <v>306</v>
      </c>
      <c r="B44" s="461">
        <v>0</v>
      </c>
      <c r="C44" s="462">
        <v>279617.46284757648</v>
      </c>
      <c r="D44" s="461">
        <v>0</v>
      </c>
      <c r="E44" s="462">
        <v>302090.94432119402</v>
      </c>
      <c r="F44" s="461">
        <v>0</v>
      </c>
      <c r="G44" s="462">
        <v>332949.87833541306</v>
      </c>
      <c r="H44" s="461">
        <v>0</v>
      </c>
      <c r="I44" s="462">
        <v>548180.35000000009</v>
      </c>
      <c r="J44" s="461">
        <v>0</v>
      </c>
      <c r="K44" s="462">
        <v>576774.31000000006</v>
      </c>
      <c r="L44" s="435"/>
      <c r="M44" s="461">
        <f t="shared" si="11"/>
        <v>0</v>
      </c>
      <c r="N44" s="462">
        <f t="shared" si="12"/>
        <v>0</v>
      </c>
      <c r="O44" s="461">
        <f t="shared" si="13"/>
        <v>0</v>
      </c>
      <c r="P44" s="462">
        <f t="shared" si="14"/>
        <v>0</v>
      </c>
      <c r="R44" s="460" t="s">
        <v>306</v>
      </c>
      <c r="S44" s="461"/>
      <c r="T44" s="462">
        <v>548180.35000000009</v>
      </c>
      <c r="U44" s="461">
        <v>0</v>
      </c>
      <c r="V44" s="462">
        <v>576774.31000000006</v>
      </c>
    </row>
    <row r="45" spans="1:22" x14ac:dyDescent="0.2">
      <c r="A45" s="465" t="s">
        <v>307</v>
      </c>
      <c r="B45" s="461">
        <v>0</v>
      </c>
      <c r="C45" s="462">
        <v>1216088.0640563436</v>
      </c>
      <c r="D45" s="461">
        <v>0</v>
      </c>
      <c r="E45" s="462">
        <v>1295195.3322112288</v>
      </c>
      <c r="F45" s="461">
        <v>0</v>
      </c>
      <c r="G45" s="462">
        <v>1248921.9889808435</v>
      </c>
      <c r="H45" s="461">
        <v>0</v>
      </c>
      <c r="I45" s="462">
        <v>1332595.8399999999</v>
      </c>
      <c r="J45" s="461">
        <v>0</v>
      </c>
      <c r="K45" s="462">
        <v>1502564.4</v>
      </c>
      <c r="L45" s="435"/>
      <c r="M45" s="461">
        <f t="shared" si="11"/>
        <v>0</v>
      </c>
      <c r="N45" s="462">
        <f t="shared" si="12"/>
        <v>0</v>
      </c>
      <c r="O45" s="461">
        <f t="shared" si="13"/>
        <v>0</v>
      </c>
      <c r="P45" s="462">
        <f t="shared" si="14"/>
        <v>0</v>
      </c>
      <c r="R45" s="465" t="s">
        <v>307</v>
      </c>
      <c r="S45" s="461"/>
      <c r="T45" s="462">
        <v>1332595.8399999999</v>
      </c>
      <c r="U45" s="461">
        <v>0</v>
      </c>
      <c r="V45" s="462">
        <v>1502564.4</v>
      </c>
    </row>
    <row r="46" spans="1:22" x14ac:dyDescent="0.2">
      <c r="A46" s="465" t="s">
        <v>308</v>
      </c>
      <c r="B46" s="461">
        <v>0</v>
      </c>
      <c r="C46" s="462">
        <v>230732.4536710789</v>
      </c>
      <c r="D46" s="461">
        <v>0</v>
      </c>
      <c r="E46" s="462">
        <v>245792.37878845134</v>
      </c>
      <c r="F46" s="461">
        <v>0</v>
      </c>
      <c r="G46" s="462">
        <v>239876.91363030905</v>
      </c>
      <c r="H46" s="461">
        <v>0</v>
      </c>
      <c r="I46" s="462">
        <v>242011.56000000003</v>
      </c>
      <c r="J46" s="461">
        <v>0</v>
      </c>
      <c r="K46" s="462">
        <v>285557.84999999998</v>
      </c>
      <c r="L46" s="435"/>
      <c r="M46" s="461">
        <f t="shared" si="11"/>
        <v>0</v>
      </c>
      <c r="N46" s="462">
        <f t="shared" si="12"/>
        <v>0</v>
      </c>
      <c r="O46" s="461">
        <f t="shared" si="13"/>
        <v>0</v>
      </c>
      <c r="P46" s="462">
        <f t="shared" si="14"/>
        <v>10925.589999999967</v>
      </c>
      <c r="R46" s="465" t="s">
        <v>308</v>
      </c>
      <c r="S46" s="461"/>
      <c r="T46" s="462">
        <v>242011.56000000003</v>
      </c>
      <c r="U46" s="461">
        <v>0</v>
      </c>
      <c r="V46" s="462">
        <v>274632.26</v>
      </c>
    </row>
    <row r="47" spans="1:22" x14ac:dyDescent="0.2">
      <c r="A47" s="465" t="s">
        <v>309</v>
      </c>
      <c r="B47" s="461">
        <v>0</v>
      </c>
      <c r="C47" s="462">
        <v>147509.62715900311</v>
      </c>
      <c r="D47" s="461">
        <v>0</v>
      </c>
      <c r="E47" s="462">
        <v>125431.84573910167</v>
      </c>
      <c r="F47" s="461">
        <v>0</v>
      </c>
      <c r="G47" s="462">
        <v>136390.64126851811</v>
      </c>
      <c r="H47" s="461">
        <v>0</v>
      </c>
      <c r="I47" s="462">
        <v>139086.07999999999</v>
      </c>
      <c r="J47" s="461">
        <v>0</v>
      </c>
      <c r="K47" s="462">
        <v>145428.15000000002</v>
      </c>
      <c r="L47" s="435"/>
      <c r="M47" s="461">
        <f t="shared" si="11"/>
        <v>0</v>
      </c>
      <c r="N47" s="462">
        <f t="shared" si="12"/>
        <v>0</v>
      </c>
      <c r="O47" s="461">
        <f t="shared" si="13"/>
        <v>0</v>
      </c>
      <c r="P47" s="462">
        <f t="shared" si="14"/>
        <v>0</v>
      </c>
      <c r="R47" s="465" t="s">
        <v>309</v>
      </c>
      <c r="S47" s="461"/>
      <c r="T47" s="462">
        <v>139086.07999999999</v>
      </c>
      <c r="U47" s="461">
        <v>0</v>
      </c>
      <c r="V47" s="462">
        <v>145428.15000000002</v>
      </c>
    </row>
    <row r="48" spans="1:22" x14ac:dyDescent="0.2">
      <c r="A48" s="466" t="s">
        <v>310</v>
      </c>
      <c r="B48" s="461">
        <v>0</v>
      </c>
      <c r="C48" s="462">
        <v>310388.24233470991</v>
      </c>
      <c r="D48" s="461">
        <v>0</v>
      </c>
      <c r="E48" s="462">
        <v>337874.06419754983</v>
      </c>
      <c r="F48" s="461">
        <v>0</v>
      </c>
      <c r="G48" s="462">
        <v>376687.19801722519</v>
      </c>
      <c r="H48" s="461">
        <v>0</v>
      </c>
      <c r="I48" s="462">
        <v>332008.77</v>
      </c>
      <c r="J48" s="461">
        <v>0</v>
      </c>
      <c r="K48" s="462">
        <v>343269.65000000008</v>
      </c>
      <c r="L48" s="435"/>
      <c r="M48" s="461">
        <f t="shared" si="11"/>
        <v>0</v>
      </c>
      <c r="N48" s="462">
        <f t="shared" si="12"/>
        <v>0</v>
      </c>
      <c r="O48" s="461">
        <f t="shared" si="13"/>
        <v>0</v>
      </c>
      <c r="P48" s="462">
        <f t="shared" si="14"/>
        <v>0</v>
      </c>
      <c r="R48" s="466" t="s">
        <v>310</v>
      </c>
      <c r="S48" s="461"/>
      <c r="T48" s="462">
        <v>332008.77</v>
      </c>
      <c r="U48" s="461">
        <v>0</v>
      </c>
      <c r="V48" s="462">
        <v>343269.65000000008</v>
      </c>
    </row>
    <row r="49" spans="1:22" ht="3" customHeight="1" x14ac:dyDescent="0.2">
      <c r="A49" s="469"/>
      <c r="B49" s="470"/>
      <c r="C49" s="471"/>
      <c r="D49" s="470"/>
      <c r="E49" s="471"/>
      <c r="F49" s="470"/>
      <c r="G49" s="471"/>
      <c r="H49" s="470"/>
      <c r="I49" s="471"/>
      <c r="J49" s="470"/>
      <c r="K49" s="471"/>
      <c r="L49" s="435"/>
      <c r="M49" s="470"/>
      <c r="N49" s="471"/>
      <c r="O49" s="470"/>
      <c r="P49" s="471"/>
      <c r="R49" s="469"/>
      <c r="S49" s="470"/>
      <c r="T49" s="471"/>
      <c r="U49" s="470"/>
      <c r="V49" s="471"/>
    </row>
    <row r="50" spans="1:22" ht="12" thickBot="1" x14ac:dyDescent="0.25">
      <c r="A50" s="472" t="s">
        <v>205</v>
      </c>
      <c r="B50" s="473">
        <f t="shared" ref="B50:D50" si="15">SUM(B39:B49)</f>
        <v>0</v>
      </c>
      <c r="C50" s="474">
        <f t="shared" si="15"/>
        <v>4269949.9699999271</v>
      </c>
      <c r="D50" s="473">
        <f t="shared" si="15"/>
        <v>0</v>
      </c>
      <c r="E50" s="474">
        <f>SUM(E39:E49)</f>
        <v>4479259.9000000358</v>
      </c>
      <c r="F50" s="473">
        <f t="shared" ref="F50" si="16">SUM(F39:F49)</f>
        <v>0</v>
      </c>
      <c r="G50" s="474">
        <f>SUM(G39:G49)</f>
        <v>4663562.6000005063</v>
      </c>
      <c r="H50" s="473">
        <f t="shared" ref="H50" si="17">SUM(H39:H49)</f>
        <v>0</v>
      </c>
      <c r="I50" s="474">
        <f>SUM(I39:I49)</f>
        <v>5239069.379999999</v>
      </c>
      <c r="J50" s="473">
        <f>SUM(J39:J49)</f>
        <v>0</v>
      </c>
      <c r="K50" s="474">
        <f>SUM(K39:K49)</f>
        <v>5721838.3500000006</v>
      </c>
      <c r="L50" s="435"/>
      <c r="M50" s="473">
        <f>IFERROR(H50-S50,"")</f>
        <v>0</v>
      </c>
      <c r="N50" s="474">
        <f>IFERROR(I50-T50,"")</f>
        <v>0</v>
      </c>
      <c r="O50" s="473">
        <f>IFERROR(J50-U50,"")</f>
        <v>0</v>
      </c>
      <c r="P50" s="474">
        <f>IFERROR(K50-V50,"")</f>
        <v>10925.589999999851</v>
      </c>
      <c r="R50" s="472" t="s">
        <v>205</v>
      </c>
      <c r="S50" s="473"/>
      <c r="T50" s="474">
        <v>5239069.379999999</v>
      </c>
      <c r="U50" s="473">
        <v>0</v>
      </c>
      <c r="V50" s="474">
        <v>5710912.7600000007</v>
      </c>
    </row>
    <row r="51" spans="1:22" ht="12" thickTop="1" x14ac:dyDescent="0.2">
      <c r="A51" s="475"/>
      <c r="B51" s="477"/>
      <c r="C51" s="476"/>
      <c r="D51" s="477"/>
      <c r="E51" s="476"/>
      <c r="F51" s="477"/>
      <c r="G51" s="476"/>
      <c r="H51" s="477"/>
      <c r="I51" s="476"/>
      <c r="J51" s="477"/>
      <c r="K51" s="476"/>
      <c r="L51" s="435"/>
      <c r="M51" s="477"/>
      <c r="N51" s="476"/>
      <c r="O51" s="477"/>
      <c r="P51" s="476"/>
      <c r="R51" s="475"/>
      <c r="S51" s="477"/>
      <c r="T51" s="476"/>
      <c r="U51" s="477"/>
      <c r="V51" s="476"/>
    </row>
    <row r="52" spans="1:22" x14ac:dyDescent="0.2">
      <c r="A52" s="476"/>
      <c r="B52" s="477"/>
      <c r="C52" s="478"/>
      <c r="D52" s="477"/>
      <c r="E52" s="478"/>
      <c r="F52" s="477"/>
      <c r="G52" s="478"/>
      <c r="H52" s="477"/>
      <c r="I52" s="478"/>
      <c r="J52" s="477"/>
      <c r="K52" s="478"/>
      <c r="L52" s="435"/>
      <c r="M52" s="477"/>
      <c r="N52" s="478"/>
      <c r="O52" s="477"/>
      <c r="P52" s="478"/>
      <c r="R52" s="476"/>
      <c r="S52" s="477"/>
      <c r="T52" s="478"/>
      <c r="U52" s="477"/>
      <c r="V52" s="478"/>
    </row>
    <row r="53" spans="1:22" x14ac:dyDescent="0.2">
      <c r="A53" s="480" t="s">
        <v>313</v>
      </c>
      <c r="B53" s="487"/>
      <c r="C53" s="486"/>
      <c r="D53" s="487"/>
      <c r="E53" s="486"/>
      <c r="F53" s="487"/>
      <c r="G53" s="486"/>
      <c r="H53" s="487"/>
      <c r="I53" s="486"/>
      <c r="J53" s="487"/>
      <c r="K53" s="486"/>
      <c r="L53" s="435"/>
      <c r="M53" s="487"/>
      <c r="N53" s="486"/>
      <c r="O53" s="487"/>
      <c r="P53" s="486"/>
      <c r="R53" s="480" t="s">
        <v>313</v>
      </c>
      <c r="S53" s="487"/>
      <c r="T53" s="486"/>
      <c r="U53" s="487"/>
      <c r="V53" s="486"/>
    </row>
    <row r="54" spans="1:22" x14ac:dyDescent="0.2">
      <c r="A54" s="455" t="s">
        <v>301</v>
      </c>
      <c r="B54" s="456">
        <v>0</v>
      </c>
      <c r="C54" s="457">
        <v>0</v>
      </c>
      <c r="D54" s="456">
        <v>0</v>
      </c>
      <c r="E54" s="457">
        <v>0</v>
      </c>
      <c r="F54" s="456">
        <v>0</v>
      </c>
      <c r="G54" s="457">
        <v>0</v>
      </c>
      <c r="H54" s="456">
        <v>0</v>
      </c>
      <c r="I54" s="457">
        <v>0</v>
      </c>
      <c r="J54" s="456">
        <v>0</v>
      </c>
      <c r="K54" s="457">
        <v>0</v>
      </c>
      <c r="L54" s="435"/>
      <c r="M54" s="456">
        <f t="shared" ref="M54:M63" si="18">IFERROR(H54-S54,"")</f>
        <v>0</v>
      </c>
      <c r="N54" s="457">
        <f t="shared" ref="N54:N63" si="19">IFERROR(I54-T54,"")</f>
        <v>0</v>
      </c>
      <c r="O54" s="456">
        <f t="shared" ref="O54:O63" si="20">IFERROR(J54-U54,"")</f>
        <v>0</v>
      </c>
      <c r="P54" s="457">
        <f t="shared" ref="P54:P63" si="21">IFERROR(K54-V54,"")</f>
        <v>0</v>
      </c>
      <c r="R54" s="455" t="s">
        <v>301</v>
      </c>
      <c r="S54" s="456"/>
      <c r="T54" s="457">
        <v>0</v>
      </c>
      <c r="U54" s="456">
        <v>0</v>
      </c>
      <c r="V54" s="457">
        <v>0</v>
      </c>
    </row>
    <row r="55" spans="1:22" x14ac:dyDescent="0.2">
      <c r="A55" s="460" t="s">
        <v>302</v>
      </c>
      <c r="B55" s="461">
        <v>0</v>
      </c>
      <c r="C55" s="462">
        <v>32542.678161310931</v>
      </c>
      <c r="D55" s="461">
        <v>0</v>
      </c>
      <c r="E55" s="462">
        <v>39722.138023956788</v>
      </c>
      <c r="F55" s="461">
        <v>0</v>
      </c>
      <c r="G55" s="462">
        <v>64744.118567685793</v>
      </c>
      <c r="H55" s="461">
        <v>0</v>
      </c>
      <c r="I55" s="462">
        <v>68723.330000000016</v>
      </c>
      <c r="J55" s="461">
        <v>0</v>
      </c>
      <c r="K55" s="462">
        <v>70785.330000000016</v>
      </c>
      <c r="L55" s="435"/>
      <c r="M55" s="461">
        <f t="shared" si="18"/>
        <v>0</v>
      </c>
      <c r="N55" s="462">
        <f t="shared" si="19"/>
        <v>0</v>
      </c>
      <c r="O55" s="461">
        <f t="shared" si="20"/>
        <v>0</v>
      </c>
      <c r="P55" s="462">
        <f t="shared" si="21"/>
        <v>0</v>
      </c>
      <c r="R55" s="460" t="s">
        <v>302</v>
      </c>
      <c r="S55" s="461"/>
      <c r="T55" s="462">
        <v>68723.330000000016</v>
      </c>
      <c r="U55" s="461">
        <v>0</v>
      </c>
      <c r="V55" s="462">
        <v>70785.330000000016</v>
      </c>
    </row>
    <row r="56" spans="1:22" x14ac:dyDescent="0.2">
      <c r="A56" s="465" t="s">
        <v>303</v>
      </c>
      <c r="B56" s="461">
        <v>0</v>
      </c>
      <c r="C56" s="462">
        <v>19612.348619026747</v>
      </c>
      <c r="D56" s="461">
        <v>0</v>
      </c>
      <c r="E56" s="462">
        <v>23244.772475453072</v>
      </c>
      <c r="F56" s="461">
        <v>0</v>
      </c>
      <c r="G56" s="462">
        <v>32247.635777652253</v>
      </c>
      <c r="H56" s="461">
        <v>0</v>
      </c>
      <c r="I56" s="462">
        <v>32842.589999999997</v>
      </c>
      <c r="J56" s="461">
        <v>0</v>
      </c>
      <c r="K56" s="462">
        <v>34089.43</v>
      </c>
      <c r="L56" s="435"/>
      <c r="M56" s="461">
        <f t="shared" si="18"/>
        <v>0</v>
      </c>
      <c r="N56" s="462">
        <f t="shared" si="19"/>
        <v>0</v>
      </c>
      <c r="O56" s="461">
        <f t="shared" si="20"/>
        <v>0</v>
      </c>
      <c r="P56" s="462">
        <f t="shared" si="21"/>
        <v>0</v>
      </c>
      <c r="R56" s="465" t="s">
        <v>303</v>
      </c>
      <c r="S56" s="461"/>
      <c r="T56" s="462">
        <v>32842.589999999997</v>
      </c>
      <c r="U56" s="461">
        <v>0</v>
      </c>
      <c r="V56" s="462">
        <v>34089.43</v>
      </c>
    </row>
    <row r="57" spans="1:22" x14ac:dyDescent="0.2">
      <c r="A57" s="465" t="s">
        <v>304</v>
      </c>
      <c r="B57" s="461">
        <v>0</v>
      </c>
      <c r="C57" s="462">
        <v>784434.23176186508</v>
      </c>
      <c r="D57" s="461">
        <v>0</v>
      </c>
      <c r="E57" s="462">
        <v>915535.23986259999</v>
      </c>
      <c r="F57" s="461">
        <v>0</v>
      </c>
      <c r="G57" s="462">
        <v>957695.99003875558</v>
      </c>
      <c r="H57" s="461">
        <v>0</v>
      </c>
      <c r="I57" s="462">
        <v>974300.27</v>
      </c>
      <c r="J57" s="461">
        <v>0</v>
      </c>
      <c r="K57" s="462">
        <v>1029399.94</v>
      </c>
      <c r="L57" s="435"/>
      <c r="M57" s="461">
        <f t="shared" si="18"/>
        <v>0</v>
      </c>
      <c r="N57" s="462">
        <f t="shared" si="19"/>
        <v>0</v>
      </c>
      <c r="O57" s="461">
        <f t="shared" si="20"/>
        <v>0</v>
      </c>
      <c r="P57" s="462">
        <f t="shared" si="21"/>
        <v>0</v>
      </c>
      <c r="R57" s="465" t="s">
        <v>304</v>
      </c>
      <c r="S57" s="461"/>
      <c r="T57" s="462">
        <v>974300.27</v>
      </c>
      <c r="U57" s="461">
        <v>0</v>
      </c>
      <c r="V57" s="462">
        <v>1029399.94</v>
      </c>
    </row>
    <row r="58" spans="1:22" x14ac:dyDescent="0.2">
      <c r="A58" s="460" t="s">
        <v>305</v>
      </c>
      <c r="B58" s="461">
        <v>0</v>
      </c>
      <c r="C58" s="462">
        <v>425371.2123240424</v>
      </c>
      <c r="D58" s="461">
        <v>0</v>
      </c>
      <c r="E58" s="462">
        <v>546568.63828937663</v>
      </c>
      <c r="F58" s="461">
        <v>0</v>
      </c>
      <c r="G58" s="462">
        <v>586234.10387705197</v>
      </c>
      <c r="H58" s="461">
        <v>0</v>
      </c>
      <c r="I58" s="462">
        <v>620243</v>
      </c>
      <c r="J58" s="461">
        <v>0</v>
      </c>
      <c r="K58" s="462">
        <v>639497.19000000006</v>
      </c>
      <c r="L58" s="435"/>
      <c r="M58" s="461">
        <f t="shared" si="18"/>
        <v>0</v>
      </c>
      <c r="N58" s="462">
        <f t="shared" si="19"/>
        <v>0</v>
      </c>
      <c r="O58" s="461">
        <f t="shared" si="20"/>
        <v>0</v>
      </c>
      <c r="P58" s="462">
        <f t="shared" si="21"/>
        <v>0</v>
      </c>
      <c r="R58" s="460" t="s">
        <v>305</v>
      </c>
      <c r="S58" s="461"/>
      <c r="T58" s="462">
        <v>620243</v>
      </c>
      <c r="U58" s="461">
        <v>0</v>
      </c>
      <c r="V58" s="462">
        <v>639497.19000000006</v>
      </c>
    </row>
    <row r="59" spans="1:22" x14ac:dyDescent="0.2">
      <c r="A59" s="460" t="s">
        <v>306</v>
      </c>
      <c r="B59" s="461">
        <v>0</v>
      </c>
      <c r="C59" s="462">
        <v>100999.10471147532</v>
      </c>
      <c r="D59" s="461">
        <v>0</v>
      </c>
      <c r="E59" s="462">
        <v>163953.86392239478</v>
      </c>
      <c r="F59" s="461">
        <v>0</v>
      </c>
      <c r="G59" s="462">
        <v>291750.88424139284</v>
      </c>
      <c r="H59" s="461">
        <v>0</v>
      </c>
      <c r="I59" s="462">
        <v>379629.74</v>
      </c>
      <c r="J59" s="461">
        <v>0</v>
      </c>
      <c r="K59" s="462">
        <v>394318.42999999993</v>
      </c>
      <c r="L59" s="435"/>
      <c r="M59" s="461">
        <f t="shared" si="18"/>
        <v>0</v>
      </c>
      <c r="N59" s="462">
        <f t="shared" si="19"/>
        <v>0</v>
      </c>
      <c r="O59" s="461">
        <f t="shared" si="20"/>
        <v>0</v>
      </c>
      <c r="P59" s="462">
        <f t="shared" si="21"/>
        <v>0</v>
      </c>
      <c r="R59" s="460" t="s">
        <v>306</v>
      </c>
      <c r="S59" s="461"/>
      <c r="T59" s="462">
        <v>379629.74</v>
      </c>
      <c r="U59" s="461">
        <v>0</v>
      </c>
      <c r="V59" s="462">
        <v>394318.42999999993</v>
      </c>
    </row>
    <row r="60" spans="1:22" x14ac:dyDescent="0.2">
      <c r="A60" s="465" t="s">
        <v>307</v>
      </c>
      <c r="B60" s="461">
        <v>0</v>
      </c>
      <c r="C60" s="462">
        <v>139035.16962934672</v>
      </c>
      <c r="D60" s="461">
        <v>0</v>
      </c>
      <c r="E60" s="462">
        <v>276001.09904322715</v>
      </c>
      <c r="F60" s="461">
        <v>0</v>
      </c>
      <c r="G60" s="462">
        <v>564482.52817433304</v>
      </c>
      <c r="H60" s="461">
        <v>0</v>
      </c>
      <c r="I60" s="462">
        <v>596518.13</v>
      </c>
      <c r="J60" s="461">
        <v>0</v>
      </c>
      <c r="K60" s="462">
        <v>638766.13</v>
      </c>
      <c r="L60" s="435"/>
      <c r="M60" s="461">
        <f t="shared" si="18"/>
        <v>0</v>
      </c>
      <c r="N60" s="462">
        <f t="shared" si="19"/>
        <v>0</v>
      </c>
      <c r="O60" s="461">
        <f t="shared" si="20"/>
        <v>0</v>
      </c>
      <c r="P60" s="462">
        <f t="shared" si="21"/>
        <v>0</v>
      </c>
      <c r="R60" s="465" t="s">
        <v>307</v>
      </c>
      <c r="S60" s="461"/>
      <c r="T60" s="462">
        <v>596518.13</v>
      </c>
      <c r="U60" s="461">
        <v>0</v>
      </c>
      <c r="V60" s="462">
        <v>638766.13</v>
      </c>
    </row>
    <row r="61" spans="1:22" x14ac:dyDescent="0.2">
      <c r="A61" s="465" t="s">
        <v>308</v>
      </c>
      <c r="B61" s="461">
        <v>0</v>
      </c>
      <c r="C61" s="462">
        <v>36603.988825640568</v>
      </c>
      <c r="D61" s="461">
        <v>0</v>
      </c>
      <c r="E61" s="462">
        <v>38342.415900928529</v>
      </c>
      <c r="F61" s="461">
        <v>0</v>
      </c>
      <c r="G61" s="462">
        <v>42243.801058294106</v>
      </c>
      <c r="H61" s="461">
        <v>0</v>
      </c>
      <c r="I61" s="462">
        <v>46509.01</v>
      </c>
      <c r="J61" s="461">
        <v>0</v>
      </c>
      <c r="K61" s="462">
        <v>49500.930000000008</v>
      </c>
      <c r="L61" s="435"/>
      <c r="M61" s="461">
        <f t="shared" si="18"/>
        <v>0</v>
      </c>
      <c r="N61" s="462">
        <f t="shared" si="19"/>
        <v>0</v>
      </c>
      <c r="O61" s="461">
        <f t="shared" si="20"/>
        <v>0</v>
      </c>
      <c r="P61" s="462">
        <f t="shared" si="21"/>
        <v>412.94999999999709</v>
      </c>
      <c r="R61" s="465" t="s">
        <v>308</v>
      </c>
      <c r="S61" s="461"/>
      <c r="T61" s="462">
        <v>46509.01</v>
      </c>
      <c r="U61" s="461">
        <v>0</v>
      </c>
      <c r="V61" s="462">
        <v>49087.98000000001</v>
      </c>
    </row>
    <row r="62" spans="1:22" x14ac:dyDescent="0.2">
      <c r="A62" s="465" t="s">
        <v>309</v>
      </c>
      <c r="B62" s="461">
        <v>0</v>
      </c>
      <c r="C62" s="462">
        <v>21601.155049417215</v>
      </c>
      <c r="D62" s="461">
        <v>0</v>
      </c>
      <c r="E62" s="462">
        <v>40291.781039014386</v>
      </c>
      <c r="F62" s="461">
        <v>0</v>
      </c>
      <c r="G62" s="462">
        <v>29086.380406302989</v>
      </c>
      <c r="H62" s="461">
        <v>0</v>
      </c>
      <c r="I62" s="462">
        <v>46476.029999999992</v>
      </c>
      <c r="J62" s="461">
        <v>0</v>
      </c>
      <c r="K62" s="462">
        <v>48594.81</v>
      </c>
      <c r="L62" s="435"/>
      <c r="M62" s="461">
        <f t="shared" si="18"/>
        <v>0</v>
      </c>
      <c r="N62" s="462">
        <f t="shared" si="19"/>
        <v>0</v>
      </c>
      <c r="O62" s="461">
        <f t="shared" si="20"/>
        <v>0</v>
      </c>
      <c r="P62" s="462">
        <f t="shared" si="21"/>
        <v>0</v>
      </c>
      <c r="R62" s="465" t="s">
        <v>309</v>
      </c>
      <c r="S62" s="461"/>
      <c r="T62" s="462">
        <v>46476.029999999992</v>
      </c>
      <c r="U62" s="461">
        <v>0</v>
      </c>
      <c r="V62" s="462">
        <v>48594.81</v>
      </c>
    </row>
    <row r="63" spans="1:22" x14ac:dyDescent="0.2">
      <c r="A63" s="466" t="s">
        <v>310</v>
      </c>
      <c r="B63" s="461">
        <v>0</v>
      </c>
      <c r="C63" s="462">
        <v>131007.63091792897</v>
      </c>
      <c r="D63" s="461">
        <v>0</v>
      </c>
      <c r="E63" s="462">
        <v>153999.15144310327</v>
      </c>
      <c r="F63" s="461">
        <v>0</v>
      </c>
      <c r="G63" s="462">
        <v>188375.71785847811</v>
      </c>
      <c r="H63" s="461">
        <v>0</v>
      </c>
      <c r="I63" s="462">
        <v>180151.06000000003</v>
      </c>
      <c r="J63" s="461">
        <v>0</v>
      </c>
      <c r="K63" s="462">
        <v>186684.25999999998</v>
      </c>
      <c r="L63" s="435"/>
      <c r="M63" s="461">
        <f t="shared" si="18"/>
        <v>0</v>
      </c>
      <c r="N63" s="462">
        <f t="shared" si="19"/>
        <v>0</v>
      </c>
      <c r="O63" s="461">
        <f t="shared" si="20"/>
        <v>0</v>
      </c>
      <c r="P63" s="462">
        <f t="shared" si="21"/>
        <v>0</v>
      </c>
      <c r="R63" s="466" t="s">
        <v>310</v>
      </c>
      <c r="S63" s="461"/>
      <c r="T63" s="462">
        <v>180151.06000000003</v>
      </c>
      <c r="U63" s="461">
        <v>0</v>
      </c>
      <c r="V63" s="462">
        <v>186684.25999999998</v>
      </c>
    </row>
    <row r="64" spans="1:22" ht="3" customHeight="1" x14ac:dyDescent="0.2">
      <c r="A64" s="469"/>
      <c r="B64" s="470"/>
      <c r="C64" s="471"/>
      <c r="D64" s="470"/>
      <c r="E64" s="471"/>
      <c r="F64" s="470"/>
      <c r="G64" s="471"/>
      <c r="H64" s="470"/>
      <c r="I64" s="471"/>
      <c r="J64" s="470"/>
      <c r="K64" s="471"/>
      <c r="L64" s="435"/>
      <c r="M64" s="470"/>
      <c r="N64" s="471"/>
      <c r="O64" s="470"/>
      <c r="P64" s="471"/>
      <c r="R64" s="469"/>
      <c r="S64" s="470"/>
      <c r="T64" s="471"/>
      <c r="U64" s="470"/>
      <c r="V64" s="471"/>
    </row>
    <row r="65" spans="1:22" ht="12" thickBot="1" x14ac:dyDescent="0.25">
      <c r="A65" s="472" t="s">
        <v>205</v>
      </c>
      <c r="B65" s="473">
        <f t="shared" ref="B65:D65" si="22">SUM(B54:B64)</f>
        <v>0</v>
      </c>
      <c r="C65" s="474">
        <f t="shared" ref="C65" si="23">SUM(C54:C64)</f>
        <v>1691207.520000054</v>
      </c>
      <c r="D65" s="473">
        <f t="shared" si="22"/>
        <v>0</v>
      </c>
      <c r="E65" s="474">
        <f>SUM(E54:E64)</f>
        <v>2197659.1000000546</v>
      </c>
      <c r="F65" s="473">
        <f t="shared" ref="F65" si="24">SUM(F54:F64)</f>
        <v>0</v>
      </c>
      <c r="G65" s="474">
        <f>SUM(G54:G64)</f>
        <v>2756861.1599999466</v>
      </c>
      <c r="H65" s="473">
        <f t="shared" ref="H65" si="25">SUM(H54:H64)</f>
        <v>0</v>
      </c>
      <c r="I65" s="474">
        <f>SUM(I54:I64)</f>
        <v>2945393.1599999997</v>
      </c>
      <c r="J65" s="473">
        <f>SUM(J54:J64)</f>
        <v>0</v>
      </c>
      <c r="K65" s="474">
        <f>SUM(K54:K64)</f>
        <v>3091636.45</v>
      </c>
      <c r="L65" s="435"/>
      <c r="M65" s="473">
        <f>IFERROR(H65-S65,"")</f>
        <v>0</v>
      </c>
      <c r="N65" s="474">
        <f>IFERROR(I65-T65,"")</f>
        <v>0</v>
      </c>
      <c r="O65" s="473">
        <f>IFERROR(J65-U65,"")</f>
        <v>0</v>
      </c>
      <c r="P65" s="474">
        <f>IFERROR(K65-V65,"")</f>
        <v>412.95000000018626</v>
      </c>
      <c r="R65" s="472" t="s">
        <v>205</v>
      </c>
      <c r="S65" s="473"/>
      <c r="T65" s="474">
        <v>2945393.1599999997</v>
      </c>
      <c r="U65" s="473">
        <v>0</v>
      </c>
      <c r="V65" s="474">
        <v>3091223.5</v>
      </c>
    </row>
    <row r="66" spans="1:22" ht="12" thickTop="1" x14ac:dyDescent="0.2">
      <c r="A66" s="475"/>
      <c r="B66" s="477"/>
      <c r="C66" s="476"/>
      <c r="D66" s="477"/>
      <c r="E66" s="476"/>
      <c r="F66" s="477"/>
      <c r="G66" s="476"/>
      <c r="H66" s="477"/>
      <c r="I66" s="476"/>
      <c r="J66" s="477"/>
      <c r="K66" s="476"/>
      <c r="L66" s="435"/>
      <c r="M66" s="477"/>
      <c r="N66" s="476"/>
      <c r="O66" s="477"/>
      <c r="P66" s="476"/>
      <c r="R66" s="475"/>
      <c r="S66" s="477"/>
      <c r="T66" s="476"/>
      <c r="U66" s="477"/>
      <c r="V66" s="476"/>
    </row>
    <row r="67" spans="1:22" x14ac:dyDescent="0.2">
      <c r="A67" s="476"/>
      <c r="B67" s="478"/>
      <c r="C67" s="478"/>
      <c r="D67" s="478"/>
      <c r="E67" s="478"/>
      <c r="F67" s="478"/>
      <c r="G67" s="478"/>
      <c r="H67" s="478"/>
      <c r="I67" s="478"/>
      <c r="J67" s="478"/>
      <c r="K67" s="478"/>
      <c r="L67" s="435"/>
      <c r="M67" s="478"/>
      <c r="N67" s="478"/>
      <c r="O67" s="478"/>
      <c r="P67" s="478"/>
      <c r="R67" s="476"/>
      <c r="S67" s="478"/>
      <c r="T67" s="478"/>
      <c r="U67" s="478"/>
      <c r="V67" s="478"/>
    </row>
    <row r="68" spans="1:22" x14ac:dyDescent="0.2">
      <c r="A68" s="480" t="s">
        <v>314</v>
      </c>
      <c r="B68" s="482"/>
      <c r="C68" s="481"/>
      <c r="D68" s="482"/>
      <c r="E68" s="481"/>
      <c r="F68" s="482"/>
      <c r="G68" s="481"/>
      <c r="H68" s="482"/>
      <c r="I68" s="481"/>
      <c r="J68" s="482"/>
      <c r="K68" s="481"/>
      <c r="L68" s="435"/>
      <c r="M68" s="482"/>
      <c r="N68" s="481"/>
      <c r="O68" s="482"/>
      <c r="P68" s="481"/>
      <c r="R68" s="480" t="s">
        <v>314</v>
      </c>
      <c r="S68" s="482"/>
      <c r="T68" s="481"/>
      <c r="U68" s="482"/>
      <c r="V68" s="481"/>
    </row>
    <row r="69" spans="1:22" x14ac:dyDescent="0.2">
      <c r="A69" s="455" t="s">
        <v>301</v>
      </c>
      <c r="B69" s="456">
        <v>0</v>
      </c>
      <c r="C69" s="457">
        <v>0</v>
      </c>
      <c r="D69" s="456">
        <v>0</v>
      </c>
      <c r="E69" s="457">
        <v>0</v>
      </c>
      <c r="F69" s="456">
        <v>0</v>
      </c>
      <c r="G69" s="457">
        <v>0</v>
      </c>
      <c r="H69" s="456">
        <v>0</v>
      </c>
      <c r="I69" s="457">
        <v>0</v>
      </c>
      <c r="J69" s="456">
        <v>0</v>
      </c>
      <c r="K69" s="457">
        <v>0</v>
      </c>
      <c r="L69" s="435"/>
      <c r="M69" s="456">
        <f t="shared" ref="M69:M78" si="26">IFERROR(H69-S69,"")</f>
        <v>0</v>
      </c>
      <c r="N69" s="457">
        <f t="shared" ref="N69:N78" si="27">IFERROR(I69-T69,"")</f>
        <v>0</v>
      </c>
      <c r="O69" s="456">
        <f t="shared" ref="O69:O78" si="28">IFERROR(J69-U69,"")</f>
        <v>0</v>
      </c>
      <c r="P69" s="457">
        <f t="shared" ref="P69:P78" si="29">IFERROR(K69-V69,"")</f>
        <v>0</v>
      </c>
      <c r="R69" s="455" t="s">
        <v>301</v>
      </c>
      <c r="S69" s="456"/>
      <c r="T69" s="457">
        <v>0</v>
      </c>
      <c r="U69" s="456">
        <v>0</v>
      </c>
      <c r="V69" s="457">
        <v>0</v>
      </c>
    </row>
    <row r="70" spans="1:22" x14ac:dyDescent="0.2">
      <c r="A70" s="460" t="s">
        <v>302</v>
      </c>
      <c r="B70" s="461">
        <v>0</v>
      </c>
      <c r="C70" s="462">
        <v>0</v>
      </c>
      <c r="D70" s="461">
        <v>0</v>
      </c>
      <c r="E70" s="462">
        <v>0</v>
      </c>
      <c r="F70" s="461">
        <v>0</v>
      </c>
      <c r="G70" s="462">
        <v>1523.1147603145312</v>
      </c>
      <c r="H70" s="461">
        <v>0</v>
      </c>
      <c r="I70" s="462">
        <v>0</v>
      </c>
      <c r="J70" s="461">
        <v>0</v>
      </c>
      <c r="K70" s="462">
        <v>0</v>
      </c>
      <c r="L70" s="435"/>
      <c r="M70" s="461">
        <f t="shared" si="26"/>
        <v>0</v>
      </c>
      <c r="N70" s="462">
        <f t="shared" si="27"/>
        <v>0</v>
      </c>
      <c r="O70" s="461">
        <f t="shared" si="28"/>
        <v>0</v>
      </c>
      <c r="P70" s="462">
        <f t="shared" si="29"/>
        <v>0</v>
      </c>
      <c r="R70" s="460" t="s">
        <v>302</v>
      </c>
      <c r="S70" s="461"/>
      <c r="T70" s="462">
        <v>0</v>
      </c>
      <c r="U70" s="461">
        <v>0</v>
      </c>
      <c r="V70" s="462">
        <v>0</v>
      </c>
    </row>
    <row r="71" spans="1:22" x14ac:dyDescent="0.2">
      <c r="A71" s="465" t="s">
        <v>303</v>
      </c>
      <c r="B71" s="461">
        <v>0</v>
      </c>
      <c r="C71" s="462">
        <v>2639.4813238360002</v>
      </c>
      <c r="D71" s="461">
        <v>0</v>
      </c>
      <c r="E71" s="462">
        <v>1796.9844104950419</v>
      </c>
      <c r="F71" s="461">
        <v>0</v>
      </c>
      <c r="G71" s="462">
        <v>2188.5641463372135</v>
      </c>
      <c r="H71" s="461">
        <v>0</v>
      </c>
      <c r="I71" s="462">
        <v>3363.4100000000003</v>
      </c>
      <c r="J71" s="461">
        <v>0</v>
      </c>
      <c r="K71" s="462">
        <v>3383.6399999999994</v>
      </c>
      <c r="L71" s="435"/>
      <c r="M71" s="461">
        <f t="shared" si="26"/>
        <v>0</v>
      </c>
      <c r="N71" s="462">
        <f t="shared" si="27"/>
        <v>0</v>
      </c>
      <c r="O71" s="461">
        <f t="shared" si="28"/>
        <v>0</v>
      </c>
      <c r="P71" s="462">
        <f t="shared" si="29"/>
        <v>0</v>
      </c>
      <c r="R71" s="465" t="s">
        <v>303</v>
      </c>
      <c r="S71" s="461"/>
      <c r="T71" s="462">
        <v>3363.4100000000003</v>
      </c>
      <c r="U71" s="461">
        <v>0</v>
      </c>
      <c r="V71" s="462">
        <v>3383.6399999999994</v>
      </c>
    </row>
    <row r="72" spans="1:22" x14ac:dyDescent="0.2">
      <c r="A72" s="465" t="s">
        <v>304</v>
      </c>
      <c r="B72" s="461">
        <v>0</v>
      </c>
      <c r="C72" s="462">
        <v>1697199.9350703754</v>
      </c>
      <c r="D72" s="461">
        <v>0</v>
      </c>
      <c r="E72" s="462">
        <v>2161388.5197132765</v>
      </c>
      <c r="F72" s="461">
        <v>0</v>
      </c>
      <c r="G72" s="462">
        <v>2473066.1997628128</v>
      </c>
      <c r="H72" s="461">
        <v>0</v>
      </c>
      <c r="I72" s="462">
        <v>2853037.51</v>
      </c>
      <c r="J72" s="461">
        <v>0</v>
      </c>
      <c r="K72" s="462">
        <v>2993884.3000000003</v>
      </c>
      <c r="L72" s="435"/>
      <c r="M72" s="461">
        <f t="shared" si="26"/>
        <v>0</v>
      </c>
      <c r="N72" s="462">
        <f t="shared" si="27"/>
        <v>0</v>
      </c>
      <c r="O72" s="461">
        <f t="shared" si="28"/>
        <v>0</v>
      </c>
      <c r="P72" s="462">
        <f t="shared" si="29"/>
        <v>0</v>
      </c>
      <c r="R72" s="465" t="s">
        <v>304</v>
      </c>
      <c r="S72" s="461"/>
      <c r="T72" s="462">
        <v>2853037.51</v>
      </c>
      <c r="U72" s="461">
        <v>0</v>
      </c>
      <c r="V72" s="462">
        <v>2993884.3000000003</v>
      </c>
    </row>
    <row r="73" spans="1:22" x14ac:dyDescent="0.2">
      <c r="A73" s="460" t="s">
        <v>305</v>
      </c>
      <c r="B73" s="461">
        <v>0</v>
      </c>
      <c r="C73" s="462">
        <v>953637.72679308103</v>
      </c>
      <c r="D73" s="461">
        <v>0</v>
      </c>
      <c r="E73" s="462">
        <v>1041910.0863902601</v>
      </c>
      <c r="F73" s="461">
        <v>0</v>
      </c>
      <c r="G73" s="462">
        <v>1109338.0233854232</v>
      </c>
      <c r="H73" s="461">
        <v>0</v>
      </c>
      <c r="I73" s="462">
        <v>1159126.0999999999</v>
      </c>
      <c r="J73" s="461">
        <v>0</v>
      </c>
      <c r="K73" s="462">
        <v>1194942.0799999998</v>
      </c>
      <c r="L73" s="435"/>
      <c r="M73" s="461">
        <f t="shared" si="26"/>
        <v>0</v>
      </c>
      <c r="N73" s="462">
        <f t="shared" si="27"/>
        <v>0</v>
      </c>
      <c r="O73" s="461">
        <f t="shared" si="28"/>
        <v>0</v>
      </c>
      <c r="P73" s="462">
        <f t="shared" si="29"/>
        <v>0</v>
      </c>
      <c r="R73" s="460" t="s">
        <v>305</v>
      </c>
      <c r="S73" s="461"/>
      <c r="T73" s="462">
        <v>1159126.0999999999</v>
      </c>
      <c r="U73" s="461">
        <v>0</v>
      </c>
      <c r="V73" s="462">
        <v>1194942.0799999998</v>
      </c>
    </row>
    <row r="74" spans="1:22" x14ac:dyDescent="0.2">
      <c r="A74" s="460" t="s">
        <v>306</v>
      </c>
      <c r="B74" s="461">
        <v>0</v>
      </c>
      <c r="C74" s="462">
        <v>548104.82544232486</v>
      </c>
      <c r="D74" s="461">
        <v>0</v>
      </c>
      <c r="E74" s="462">
        <v>694283.3377173543</v>
      </c>
      <c r="F74" s="461">
        <v>0</v>
      </c>
      <c r="G74" s="462">
        <v>828986.65462839091</v>
      </c>
      <c r="H74" s="461">
        <v>0</v>
      </c>
      <c r="I74" s="462">
        <v>855504.3</v>
      </c>
      <c r="J74" s="461">
        <v>0</v>
      </c>
      <c r="K74" s="462">
        <v>883917.39</v>
      </c>
      <c r="L74" s="435"/>
      <c r="M74" s="461">
        <f t="shared" si="26"/>
        <v>0</v>
      </c>
      <c r="N74" s="462">
        <f t="shared" si="27"/>
        <v>0</v>
      </c>
      <c r="O74" s="461">
        <f t="shared" si="28"/>
        <v>0</v>
      </c>
      <c r="P74" s="462">
        <f t="shared" si="29"/>
        <v>0</v>
      </c>
      <c r="R74" s="460" t="s">
        <v>306</v>
      </c>
      <c r="S74" s="461"/>
      <c r="T74" s="462">
        <v>855504.3</v>
      </c>
      <c r="U74" s="461">
        <v>0</v>
      </c>
      <c r="V74" s="462">
        <v>883917.39</v>
      </c>
    </row>
    <row r="75" spans="1:22" x14ac:dyDescent="0.2">
      <c r="A75" s="465" t="s">
        <v>307</v>
      </c>
      <c r="B75" s="461">
        <v>0</v>
      </c>
      <c r="C75" s="462">
        <v>1525599.3412889859</v>
      </c>
      <c r="D75" s="461">
        <v>0</v>
      </c>
      <c r="E75" s="462">
        <v>1923641.3801623101</v>
      </c>
      <c r="F75" s="461">
        <v>0</v>
      </c>
      <c r="G75" s="462">
        <v>2042372.49141021</v>
      </c>
      <c r="H75" s="461">
        <v>0</v>
      </c>
      <c r="I75" s="462">
        <v>2076396.02</v>
      </c>
      <c r="J75" s="461">
        <v>0</v>
      </c>
      <c r="K75" s="462">
        <v>2222924.5999999996</v>
      </c>
      <c r="L75" s="435"/>
      <c r="M75" s="461">
        <f t="shared" si="26"/>
        <v>0</v>
      </c>
      <c r="N75" s="462">
        <f t="shared" si="27"/>
        <v>0</v>
      </c>
      <c r="O75" s="461">
        <f t="shared" si="28"/>
        <v>0</v>
      </c>
      <c r="P75" s="462">
        <f t="shared" si="29"/>
        <v>0</v>
      </c>
      <c r="R75" s="465" t="s">
        <v>307</v>
      </c>
      <c r="S75" s="461"/>
      <c r="T75" s="462">
        <v>2076396.02</v>
      </c>
      <c r="U75" s="461">
        <v>0</v>
      </c>
      <c r="V75" s="462">
        <v>2222924.5999999996</v>
      </c>
    </row>
    <row r="76" spans="1:22" x14ac:dyDescent="0.2">
      <c r="A76" s="465" t="s">
        <v>308</v>
      </c>
      <c r="B76" s="461">
        <v>0</v>
      </c>
      <c r="C76" s="462">
        <v>37908.288657257319</v>
      </c>
      <c r="D76" s="461">
        <v>0</v>
      </c>
      <c r="E76" s="462">
        <v>39728.460592611125</v>
      </c>
      <c r="F76" s="461">
        <v>0</v>
      </c>
      <c r="G76" s="462">
        <v>43420.457176541669</v>
      </c>
      <c r="H76" s="461">
        <v>0</v>
      </c>
      <c r="I76" s="462">
        <v>48429.880000000005</v>
      </c>
      <c r="J76" s="461">
        <v>0</v>
      </c>
      <c r="K76" s="462">
        <v>53435.54</v>
      </c>
      <c r="L76" s="435"/>
      <c r="M76" s="461">
        <f t="shared" si="26"/>
        <v>0</v>
      </c>
      <c r="N76" s="462">
        <f t="shared" si="27"/>
        <v>0</v>
      </c>
      <c r="O76" s="461">
        <f t="shared" si="28"/>
        <v>0</v>
      </c>
      <c r="P76" s="462">
        <f t="shared" si="29"/>
        <v>1261.4700000000012</v>
      </c>
      <c r="R76" s="465" t="s">
        <v>308</v>
      </c>
      <c r="S76" s="461"/>
      <c r="T76" s="462">
        <v>48429.880000000005</v>
      </c>
      <c r="U76" s="461">
        <v>0</v>
      </c>
      <c r="V76" s="462">
        <v>52174.07</v>
      </c>
    </row>
    <row r="77" spans="1:22" x14ac:dyDescent="0.2">
      <c r="A77" s="465" t="s">
        <v>309</v>
      </c>
      <c r="B77" s="461">
        <v>0</v>
      </c>
      <c r="C77" s="462">
        <v>144894.07884011473</v>
      </c>
      <c r="D77" s="461">
        <v>0</v>
      </c>
      <c r="E77" s="462">
        <v>127603.98021477794</v>
      </c>
      <c r="F77" s="461">
        <v>0</v>
      </c>
      <c r="G77" s="462">
        <v>106379.78281753599</v>
      </c>
      <c r="H77" s="461">
        <v>0</v>
      </c>
      <c r="I77" s="462">
        <v>131417.91999999998</v>
      </c>
      <c r="J77" s="461">
        <v>0</v>
      </c>
      <c r="K77" s="462">
        <v>138359.83000000002</v>
      </c>
      <c r="L77" s="435"/>
      <c r="M77" s="461">
        <f t="shared" si="26"/>
        <v>0</v>
      </c>
      <c r="N77" s="462">
        <f t="shared" si="27"/>
        <v>0</v>
      </c>
      <c r="O77" s="461">
        <f t="shared" si="28"/>
        <v>0</v>
      </c>
      <c r="P77" s="462">
        <f t="shared" si="29"/>
        <v>0</v>
      </c>
      <c r="R77" s="465" t="s">
        <v>309</v>
      </c>
      <c r="S77" s="461"/>
      <c r="T77" s="462">
        <v>131417.91999999998</v>
      </c>
      <c r="U77" s="461">
        <v>0</v>
      </c>
      <c r="V77" s="462">
        <v>138359.83000000002</v>
      </c>
    </row>
    <row r="78" spans="1:22" x14ac:dyDescent="0.2">
      <c r="A78" s="466" t="s">
        <v>310</v>
      </c>
      <c r="B78" s="461">
        <v>0</v>
      </c>
      <c r="C78" s="462">
        <v>718815.5025841177</v>
      </c>
      <c r="D78" s="461">
        <v>0</v>
      </c>
      <c r="E78" s="462">
        <v>755926.32079880161</v>
      </c>
      <c r="F78" s="461">
        <v>0</v>
      </c>
      <c r="G78" s="462">
        <v>821362.74191232317</v>
      </c>
      <c r="H78" s="461">
        <v>0</v>
      </c>
      <c r="I78" s="462">
        <v>859620.56</v>
      </c>
      <c r="J78" s="461">
        <v>0</v>
      </c>
      <c r="K78" s="462">
        <v>888243.21</v>
      </c>
      <c r="L78" s="435"/>
      <c r="M78" s="461">
        <f t="shared" si="26"/>
        <v>0</v>
      </c>
      <c r="N78" s="462">
        <f t="shared" si="27"/>
        <v>0</v>
      </c>
      <c r="O78" s="461">
        <f t="shared" si="28"/>
        <v>0</v>
      </c>
      <c r="P78" s="462">
        <f t="shared" si="29"/>
        <v>0</v>
      </c>
      <c r="R78" s="466" t="s">
        <v>310</v>
      </c>
      <c r="S78" s="461"/>
      <c r="T78" s="462">
        <v>859620.56</v>
      </c>
      <c r="U78" s="461">
        <v>0</v>
      </c>
      <c r="V78" s="462">
        <v>888243.21</v>
      </c>
    </row>
    <row r="79" spans="1:22" ht="3" customHeight="1" x14ac:dyDescent="0.2">
      <c r="A79" s="469"/>
      <c r="B79" s="470"/>
      <c r="C79" s="471"/>
      <c r="D79" s="470"/>
      <c r="E79" s="471"/>
      <c r="F79" s="470"/>
      <c r="G79" s="471"/>
      <c r="H79" s="470"/>
      <c r="I79" s="471"/>
      <c r="J79" s="470"/>
      <c r="K79" s="471"/>
      <c r="L79" s="435"/>
      <c r="M79" s="470"/>
      <c r="N79" s="471"/>
      <c r="O79" s="470"/>
      <c r="P79" s="471"/>
      <c r="R79" s="469"/>
      <c r="S79" s="470"/>
      <c r="T79" s="471"/>
      <c r="U79" s="470"/>
      <c r="V79" s="471"/>
    </row>
    <row r="80" spans="1:22" ht="12" thickBot="1" x14ac:dyDescent="0.25">
      <c r="A80" s="472" t="s">
        <v>205</v>
      </c>
      <c r="B80" s="473">
        <f t="shared" ref="B80:D80" si="30">SUM(B69:B79)</f>
        <v>0</v>
      </c>
      <c r="C80" s="474">
        <f t="shared" ref="C80" si="31">SUM(C69:C79)</f>
        <v>5628799.1800000928</v>
      </c>
      <c r="D80" s="473">
        <f t="shared" si="30"/>
        <v>0</v>
      </c>
      <c r="E80" s="474">
        <f>SUM(E69:E79)</f>
        <v>6746279.0699998867</v>
      </c>
      <c r="F80" s="473">
        <f t="shared" ref="F80" si="32">SUM(F69:F79)</f>
        <v>0</v>
      </c>
      <c r="G80" s="474">
        <f>SUM(G69:G79)</f>
        <v>7428638.0299998894</v>
      </c>
      <c r="H80" s="473">
        <f t="shared" ref="H80" si="33">SUM(H69:H79)</f>
        <v>0</v>
      </c>
      <c r="I80" s="474">
        <f>SUM(I69:I79)</f>
        <v>7986895.6999999993</v>
      </c>
      <c r="J80" s="473">
        <f>SUM(J69:J79)</f>
        <v>0</v>
      </c>
      <c r="K80" s="474">
        <f>SUM(K69:K79)</f>
        <v>8379090.5899999999</v>
      </c>
      <c r="L80" s="435"/>
      <c r="M80" s="473">
        <f>IFERROR(H80-S80,"")</f>
        <v>0</v>
      </c>
      <c r="N80" s="474">
        <f>IFERROR(I80-T80,"")</f>
        <v>0</v>
      </c>
      <c r="O80" s="473">
        <f>IFERROR(J80-U80,"")</f>
        <v>0</v>
      </c>
      <c r="P80" s="474">
        <f>IFERROR(K80-V80,"")</f>
        <v>1261.4699999997392</v>
      </c>
      <c r="R80" s="472" t="s">
        <v>205</v>
      </c>
      <c r="S80" s="473"/>
      <c r="T80" s="474">
        <v>7986895.6999999993</v>
      </c>
      <c r="U80" s="473">
        <v>0</v>
      </c>
      <c r="V80" s="474">
        <v>8377829.1200000001</v>
      </c>
    </row>
    <row r="81" spans="1:22" ht="12" thickTop="1" x14ac:dyDescent="0.2">
      <c r="A81" s="475"/>
      <c r="B81" s="477"/>
      <c r="C81" s="476"/>
      <c r="D81" s="477"/>
      <c r="E81" s="476"/>
      <c r="F81" s="477"/>
      <c r="G81" s="476"/>
      <c r="H81" s="477"/>
      <c r="I81" s="476"/>
      <c r="J81" s="477"/>
      <c r="K81" s="476"/>
      <c r="L81" s="435"/>
      <c r="M81" s="477"/>
      <c r="N81" s="476"/>
      <c r="O81" s="477"/>
      <c r="P81" s="476"/>
      <c r="R81" s="475"/>
      <c r="S81" s="477"/>
      <c r="T81" s="476"/>
      <c r="U81" s="477"/>
      <c r="V81" s="476"/>
    </row>
    <row r="82" spans="1:22" x14ac:dyDescent="0.2">
      <c r="A82" s="476"/>
      <c r="B82" s="477"/>
      <c r="C82" s="478"/>
      <c r="D82" s="477"/>
      <c r="E82" s="478"/>
      <c r="F82" s="477"/>
      <c r="G82" s="478"/>
      <c r="H82" s="477"/>
      <c r="I82" s="478"/>
      <c r="J82" s="477"/>
      <c r="K82" s="478"/>
      <c r="L82" s="435"/>
      <c r="M82" s="477"/>
      <c r="N82" s="478"/>
      <c r="O82" s="477"/>
      <c r="P82" s="478"/>
      <c r="R82" s="476"/>
      <c r="S82" s="477"/>
      <c r="T82" s="478"/>
      <c r="U82" s="477"/>
      <c r="V82" s="478"/>
    </row>
    <row r="83" spans="1:22" ht="11.25" customHeight="1" x14ac:dyDescent="0.2">
      <c r="A83" s="480"/>
      <c r="B83" s="487"/>
      <c r="C83" s="486"/>
      <c r="D83" s="487"/>
      <c r="E83" s="486"/>
      <c r="F83" s="487"/>
      <c r="G83" s="486"/>
      <c r="H83" s="487"/>
      <c r="I83" s="486"/>
      <c r="J83" s="487"/>
      <c r="K83" s="486"/>
      <c r="L83" s="435"/>
      <c r="M83" s="487"/>
      <c r="N83" s="486"/>
      <c r="O83" s="487"/>
      <c r="P83" s="486"/>
      <c r="R83" s="480"/>
      <c r="S83" s="487"/>
      <c r="T83" s="486"/>
      <c r="U83" s="487"/>
      <c r="V83" s="486"/>
    </row>
    <row r="84" spans="1:22" ht="12.75" x14ac:dyDescent="0.2">
      <c r="A84" s="1547" t="s">
        <v>315</v>
      </c>
      <c r="B84" s="489"/>
      <c r="C84" s="488"/>
      <c r="D84" s="489"/>
      <c r="E84" s="488"/>
      <c r="F84" s="489"/>
      <c r="G84" s="488"/>
      <c r="H84" s="489"/>
      <c r="I84" s="488"/>
      <c r="J84" s="489"/>
      <c r="K84" s="488"/>
      <c r="L84" s="435" t="s">
        <v>143</v>
      </c>
      <c r="M84" s="489"/>
      <c r="N84" s="488"/>
      <c r="O84" s="489"/>
      <c r="P84" s="488"/>
      <c r="R84" s="1547" t="s">
        <v>315</v>
      </c>
      <c r="S84" s="489"/>
      <c r="T84" s="488"/>
      <c r="U84" s="489"/>
      <c r="V84" s="488"/>
    </row>
    <row r="85" spans="1:22" ht="11.25" customHeight="1" x14ac:dyDescent="0.2">
      <c r="A85" s="1548"/>
      <c r="B85" s="491"/>
      <c r="C85" s="490"/>
      <c r="D85" s="491"/>
      <c r="E85" s="490"/>
      <c r="F85" s="491"/>
      <c r="G85" s="490"/>
      <c r="H85" s="491"/>
      <c r="I85" s="490"/>
      <c r="J85" s="491"/>
      <c r="K85" s="490"/>
      <c r="L85" s="435"/>
      <c r="M85" s="491"/>
      <c r="N85" s="490"/>
      <c r="O85" s="491"/>
      <c r="P85" s="490"/>
      <c r="R85" s="1548"/>
      <c r="S85" s="491"/>
      <c r="T85" s="490"/>
      <c r="U85" s="491"/>
      <c r="V85" s="490"/>
    </row>
    <row r="86" spans="1:22" x14ac:dyDescent="0.2">
      <c r="A86" s="454" t="s">
        <v>300</v>
      </c>
      <c r="B86" s="487"/>
      <c r="C86" s="486"/>
      <c r="D86" s="487"/>
      <c r="E86" s="486"/>
      <c r="F86" s="487"/>
      <c r="G86" s="486"/>
      <c r="H86" s="487"/>
      <c r="I86" s="486"/>
      <c r="J86" s="487"/>
      <c r="K86" s="486"/>
      <c r="L86" s="435"/>
      <c r="M86" s="487"/>
      <c r="N86" s="486"/>
      <c r="O86" s="487"/>
      <c r="P86" s="486"/>
      <c r="R86" s="454" t="s">
        <v>300</v>
      </c>
      <c r="S86" s="487"/>
      <c r="T86" s="486"/>
      <c r="U86" s="487"/>
      <c r="V86" s="486"/>
    </row>
    <row r="87" spans="1:22" x14ac:dyDescent="0.2">
      <c r="A87" s="455" t="s">
        <v>301</v>
      </c>
      <c r="B87" s="456">
        <v>1</v>
      </c>
      <c r="C87" s="457">
        <f t="shared" ref="C87:C96" si="34">SUM(C102,C117,C132,C147)</f>
        <v>117943.3376060764</v>
      </c>
      <c r="D87" s="456">
        <v>1.9166666666666667</v>
      </c>
      <c r="E87" s="457">
        <f t="shared" ref="E87:E96" si="35">SUM(E102,E117,E132,E147)</f>
        <v>220291.59629752566</v>
      </c>
      <c r="F87" s="456">
        <v>2.17</v>
      </c>
      <c r="G87" s="457">
        <f t="shared" ref="G87:G96" si="36">SUM(G102,G117,G132,G147)</f>
        <v>312507.03949668031</v>
      </c>
      <c r="H87" s="456">
        <v>3</v>
      </c>
      <c r="I87" s="457">
        <v>349443.87</v>
      </c>
      <c r="J87" s="456">
        <v>3</v>
      </c>
      <c r="K87" s="457">
        <f>374598.72-11250</f>
        <v>363348.72</v>
      </c>
      <c r="L87" s="435"/>
      <c r="M87" s="456">
        <f t="shared" ref="M87:M96" si="37">IFERROR(H87-S87,"")</f>
        <v>0</v>
      </c>
      <c r="N87" s="457">
        <f t="shared" ref="N87:N96" si="38">IFERROR(I87-T87,"")</f>
        <v>0</v>
      </c>
      <c r="O87" s="456">
        <f t="shared" ref="O87:O96" si="39">IFERROR(J87-U87,"")</f>
        <v>0</v>
      </c>
      <c r="P87" s="457">
        <f t="shared" ref="P87:P96" si="40">IFERROR(K87-V87,"")</f>
        <v>0</v>
      </c>
      <c r="R87" s="455" t="s">
        <v>301</v>
      </c>
      <c r="S87" s="456">
        <v>3</v>
      </c>
      <c r="T87" s="457">
        <v>349443.87</v>
      </c>
      <c r="U87" s="456">
        <v>3</v>
      </c>
      <c r="V87" s="457">
        <v>363348.72</v>
      </c>
    </row>
    <row r="88" spans="1:22" x14ac:dyDescent="0.2">
      <c r="A88" s="460" t="s">
        <v>302</v>
      </c>
      <c r="B88" s="461">
        <v>0</v>
      </c>
      <c r="C88" s="462">
        <f t="shared" si="34"/>
        <v>0</v>
      </c>
      <c r="D88" s="461">
        <v>0</v>
      </c>
      <c r="E88" s="462">
        <f t="shared" si="35"/>
        <v>0</v>
      </c>
      <c r="F88" s="461">
        <v>0</v>
      </c>
      <c r="G88" s="462">
        <f t="shared" si="36"/>
        <v>0</v>
      </c>
      <c r="H88" s="461">
        <v>0</v>
      </c>
      <c r="I88" s="462">
        <v>0</v>
      </c>
      <c r="J88" s="461">
        <v>0</v>
      </c>
      <c r="K88" s="462">
        <v>0</v>
      </c>
      <c r="L88" s="435"/>
      <c r="M88" s="461">
        <f t="shared" si="37"/>
        <v>0</v>
      </c>
      <c r="N88" s="462">
        <f t="shared" si="38"/>
        <v>0</v>
      </c>
      <c r="O88" s="461">
        <f t="shared" si="39"/>
        <v>0</v>
      </c>
      <c r="P88" s="462">
        <f t="shared" si="40"/>
        <v>0</v>
      </c>
      <c r="R88" s="460" t="s">
        <v>302</v>
      </c>
      <c r="S88" s="461">
        <v>0</v>
      </c>
      <c r="T88" s="462">
        <v>0</v>
      </c>
      <c r="U88" s="461">
        <v>0</v>
      </c>
      <c r="V88" s="462">
        <v>0</v>
      </c>
    </row>
    <row r="89" spans="1:22" x14ac:dyDescent="0.2">
      <c r="A89" s="465" t="s">
        <v>303</v>
      </c>
      <c r="B89" s="461">
        <v>0</v>
      </c>
      <c r="C89" s="462">
        <f t="shared" si="34"/>
        <v>0</v>
      </c>
      <c r="D89" s="461">
        <v>0</v>
      </c>
      <c r="E89" s="462">
        <f t="shared" si="35"/>
        <v>0</v>
      </c>
      <c r="F89" s="461">
        <v>0</v>
      </c>
      <c r="G89" s="462">
        <f t="shared" si="36"/>
        <v>0</v>
      </c>
      <c r="H89" s="461">
        <v>0</v>
      </c>
      <c r="I89" s="462">
        <v>0</v>
      </c>
      <c r="J89" s="461">
        <v>0</v>
      </c>
      <c r="K89" s="462">
        <v>0</v>
      </c>
      <c r="L89" s="435"/>
      <c r="M89" s="461">
        <f t="shared" si="37"/>
        <v>0</v>
      </c>
      <c r="N89" s="462">
        <f t="shared" si="38"/>
        <v>0</v>
      </c>
      <c r="O89" s="461">
        <f t="shared" si="39"/>
        <v>0</v>
      </c>
      <c r="P89" s="462">
        <f t="shared" si="40"/>
        <v>0</v>
      </c>
      <c r="R89" s="465" t="s">
        <v>303</v>
      </c>
      <c r="S89" s="461">
        <v>0</v>
      </c>
      <c r="T89" s="462">
        <v>0</v>
      </c>
      <c r="U89" s="461">
        <v>0</v>
      </c>
      <c r="V89" s="462">
        <v>0</v>
      </c>
    </row>
    <row r="90" spans="1:22" x14ac:dyDescent="0.2">
      <c r="A90" s="465" t="s">
        <v>304</v>
      </c>
      <c r="B90" s="461">
        <v>59</v>
      </c>
      <c r="C90" s="462">
        <f t="shared" si="34"/>
        <v>6885465.0630839588</v>
      </c>
      <c r="D90" s="461">
        <v>60.666666666666664</v>
      </c>
      <c r="E90" s="462">
        <f t="shared" si="35"/>
        <v>7627511.2589930166</v>
      </c>
      <c r="F90" s="461">
        <v>68.583333333333329</v>
      </c>
      <c r="G90" s="462">
        <f t="shared" si="36"/>
        <v>8401566.525434047</v>
      </c>
      <c r="H90" s="461">
        <v>76</v>
      </c>
      <c r="I90" s="462">
        <v>9641015.5800000001</v>
      </c>
      <c r="J90" s="461">
        <v>76</v>
      </c>
      <c r="K90" s="462">
        <v>10201375.699999999</v>
      </c>
      <c r="L90" s="435"/>
      <c r="M90" s="461">
        <f t="shared" si="37"/>
        <v>0</v>
      </c>
      <c r="N90" s="462">
        <f t="shared" si="38"/>
        <v>0</v>
      </c>
      <c r="O90" s="461">
        <f t="shared" si="39"/>
        <v>0</v>
      </c>
      <c r="P90" s="462">
        <f t="shared" si="40"/>
        <v>0</v>
      </c>
      <c r="R90" s="465" t="s">
        <v>304</v>
      </c>
      <c r="S90" s="461">
        <v>76</v>
      </c>
      <c r="T90" s="462">
        <v>9641015.5800000001</v>
      </c>
      <c r="U90" s="461">
        <v>76</v>
      </c>
      <c r="V90" s="462">
        <v>10201375.699999999</v>
      </c>
    </row>
    <row r="91" spans="1:22" x14ac:dyDescent="0.2">
      <c r="A91" s="460" t="s">
        <v>305</v>
      </c>
      <c r="B91" s="461">
        <v>0</v>
      </c>
      <c r="C91" s="462">
        <f t="shared" si="34"/>
        <v>0</v>
      </c>
      <c r="D91" s="461">
        <v>0</v>
      </c>
      <c r="E91" s="462">
        <f t="shared" si="35"/>
        <v>0</v>
      </c>
      <c r="F91" s="461">
        <v>0</v>
      </c>
      <c r="G91" s="462">
        <f t="shared" si="36"/>
        <v>0</v>
      </c>
      <c r="H91" s="461">
        <v>0</v>
      </c>
      <c r="I91" s="462">
        <v>0</v>
      </c>
      <c r="J91" s="461">
        <v>0</v>
      </c>
      <c r="K91" s="462">
        <v>0</v>
      </c>
      <c r="L91" s="435"/>
      <c r="M91" s="461">
        <f t="shared" si="37"/>
        <v>0</v>
      </c>
      <c r="N91" s="462">
        <f t="shared" si="38"/>
        <v>0</v>
      </c>
      <c r="O91" s="461">
        <f t="shared" si="39"/>
        <v>0</v>
      </c>
      <c r="P91" s="462">
        <f t="shared" si="40"/>
        <v>0</v>
      </c>
      <c r="R91" s="460" t="s">
        <v>305</v>
      </c>
      <c r="S91" s="461">
        <v>0</v>
      </c>
      <c r="T91" s="462">
        <v>0</v>
      </c>
      <c r="U91" s="461">
        <v>0</v>
      </c>
      <c r="V91" s="462">
        <v>0</v>
      </c>
    </row>
    <row r="92" spans="1:22" x14ac:dyDescent="0.2">
      <c r="A92" s="460" t="s">
        <v>306</v>
      </c>
      <c r="B92" s="461">
        <v>0</v>
      </c>
      <c r="C92" s="462">
        <f t="shared" si="34"/>
        <v>0</v>
      </c>
      <c r="D92" s="461">
        <v>0</v>
      </c>
      <c r="E92" s="462">
        <f t="shared" si="35"/>
        <v>0</v>
      </c>
      <c r="F92" s="461">
        <v>0</v>
      </c>
      <c r="G92" s="462">
        <f t="shared" si="36"/>
        <v>0</v>
      </c>
      <c r="H92" s="461">
        <v>0</v>
      </c>
      <c r="I92" s="462">
        <v>0</v>
      </c>
      <c r="J92" s="461">
        <v>0</v>
      </c>
      <c r="K92" s="462">
        <v>0</v>
      </c>
      <c r="L92" s="435"/>
      <c r="M92" s="461">
        <f t="shared" si="37"/>
        <v>0</v>
      </c>
      <c r="N92" s="462">
        <f t="shared" si="38"/>
        <v>0</v>
      </c>
      <c r="O92" s="461">
        <f t="shared" si="39"/>
        <v>0</v>
      </c>
      <c r="P92" s="462">
        <f t="shared" si="40"/>
        <v>0</v>
      </c>
      <c r="R92" s="460" t="s">
        <v>306</v>
      </c>
      <c r="S92" s="461">
        <v>0</v>
      </c>
      <c r="T92" s="462">
        <v>0</v>
      </c>
      <c r="U92" s="461">
        <v>0</v>
      </c>
      <c r="V92" s="462">
        <v>0</v>
      </c>
    </row>
    <row r="93" spans="1:22" x14ac:dyDescent="0.2">
      <c r="A93" s="465" t="s">
        <v>307</v>
      </c>
      <c r="B93" s="461">
        <v>0</v>
      </c>
      <c r="C93" s="462">
        <f t="shared" si="34"/>
        <v>0</v>
      </c>
      <c r="D93" s="461">
        <v>0</v>
      </c>
      <c r="E93" s="462">
        <f t="shared" si="35"/>
        <v>0</v>
      </c>
      <c r="F93" s="461">
        <v>0</v>
      </c>
      <c r="G93" s="462">
        <f t="shared" si="36"/>
        <v>0</v>
      </c>
      <c r="H93" s="461">
        <v>0</v>
      </c>
      <c r="I93" s="462">
        <v>0</v>
      </c>
      <c r="J93" s="461">
        <v>0</v>
      </c>
      <c r="K93" s="462">
        <v>0</v>
      </c>
      <c r="L93" s="435"/>
      <c r="M93" s="461">
        <f t="shared" si="37"/>
        <v>0</v>
      </c>
      <c r="N93" s="462">
        <f t="shared" si="38"/>
        <v>0</v>
      </c>
      <c r="O93" s="461">
        <f t="shared" si="39"/>
        <v>0</v>
      </c>
      <c r="P93" s="462">
        <f t="shared" si="40"/>
        <v>0</v>
      </c>
      <c r="R93" s="465" t="s">
        <v>307</v>
      </c>
      <c r="S93" s="461">
        <v>0</v>
      </c>
      <c r="T93" s="462">
        <v>0</v>
      </c>
      <c r="U93" s="461">
        <v>0</v>
      </c>
      <c r="V93" s="462">
        <v>0</v>
      </c>
    </row>
    <row r="94" spans="1:22" x14ac:dyDescent="0.2">
      <c r="A94" s="465" t="s">
        <v>308</v>
      </c>
      <c r="B94" s="461">
        <v>0</v>
      </c>
      <c r="C94" s="462">
        <f t="shared" si="34"/>
        <v>0</v>
      </c>
      <c r="D94" s="461">
        <v>0</v>
      </c>
      <c r="E94" s="462">
        <f t="shared" si="35"/>
        <v>0</v>
      </c>
      <c r="F94" s="461">
        <v>0</v>
      </c>
      <c r="G94" s="462">
        <f t="shared" si="36"/>
        <v>0</v>
      </c>
      <c r="H94" s="461">
        <v>0</v>
      </c>
      <c r="I94" s="462">
        <v>0</v>
      </c>
      <c r="J94" s="461">
        <v>0</v>
      </c>
      <c r="K94" s="462">
        <v>0</v>
      </c>
      <c r="L94" s="435"/>
      <c r="M94" s="461">
        <f t="shared" si="37"/>
        <v>0</v>
      </c>
      <c r="N94" s="462">
        <f t="shared" si="38"/>
        <v>0</v>
      </c>
      <c r="O94" s="461">
        <f t="shared" si="39"/>
        <v>0</v>
      </c>
      <c r="P94" s="462">
        <f t="shared" si="40"/>
        <v>0</v>
      </c>
      <c r="R94" s="465" t="s">
        <v>308</v>
      </c>
      <c r="S94" s="461">
        <v>0</v>
      </c>
      <c r="T94" s="462">
        <v>0</v>
      </c>
      <c r="U94" s="461">
        <v>0</v>
      </c>
      <c r="V94" s="462">
        <v>0</v>
      </c>
    </row>
    <row r="95" spans="1:22" x14ac:dyDescent="0.2">
      <c r="A95" s="465" t="s">
        <v>309</v>
      </c>
      <c r="B95" s="461">
        <v>0</v>
      </c>
      <c r="C95" s="462">
        <f t="shared" si="34"/>
        <v>0</v>
      </c>
      <c r="D95" s="461">
        <v>0</v>
      </c>
      <c r="E95" s="462">
        <f t="shared" si="35"/>
        <v>0</v>
      </c>
      <c r="F95" s="461">
        <v>0</v>
      </c>
      <c r="G95" s="462">
        <f t="shared" si="36"/>
        <v>0</v>
      </c>
      <c r="H95" s="461">
        <v>0</v>
      </c>
      <c r="I95" s="462">
        <v>0</v>
      </c>
      <c r="J95" s="461">
        <v>0</v>
      </c>
      <c r="K95" s="462">
        <v>0</v>
      </c>
      <c r="L95" s="435"/>
      <c r="M95" s="461">
        <f t="shared" si="37"/>
        <v>0</v>
      </c>
      <c r="N95" s="462">
        <f t="shared" si="38"/>
        <v>0</v>
      </c>
      <c r="O95" s="461">
        <f t="shared" si="39"/>
        <v>0</v>
      </c>
      <c r="P95" s="462">
        <f t="shared" si="40"/>
        <v>0</v>
      </c>
      <c r="R95" s="465" t="s">
        <v>309</v>
      </c>
      <c r="S95" s="461">
        <v>0</v>
      </c>
      <c r="T95" s="462">
        <v>0</v>
      </c>
      <c r="U95" s="461">
        <v>0</v>
      </c>
      <c r="V95" s="462">
        <v>0</v>
      </c>
    </row>
    <row r="96" spans="1:22" x14ac:dyDescent="0.2">
      <c r="A96" s="466" t="s">
        <v>310</v>
      </c>
      <c r="B96" s="461">
        <v>4</v>
      </c>
      <c r="C96" s="462">
        <f t="shared" si="34"/>
        <v>529389.52154147299</v>
      </c>
      <c r="D96" s="461">
        <v>3.8333333333333335</v>
      </c>
      <c r="E96" s="462">
        <f t="shared" si="35"/>
        <v>611326.34073877486</v>
      </c>
      <c r="F96" s="461">
        <v>4</v>
      </c>
      <c r="G96" s="462">
        <f t="shared" si="36"/>
        <v>716763.36060370272</v>
      </c>
      <c r="H96" s="461">
        <v>4</v>
      </c>
      <c r="I96" s="492">
        <v>765652.58000000007</v>
      </c>
      <c r="J96" s="461">
        <v>4</v>
      </c>
      <c r="K96" s="492">
        <v>788876.85</v>
      </c>
      <c r="L96" s="435"/>
      <c r="M96" s="461">
        <f t="shared" si="37"/>
        <v>0</v>
      </c>
      <c r="N96" s="492">
        <f t="shared" si="38"/>
        <v>0</v>
      </c>
      <c r="O96" s="461">
        <f t="shared" si="39"/>
        <v>0</v>
      </c>
      <c r="P96" s="492">
        <f t="shared" si="40"/>
        <v>0</v>
      </c>
      <c r="R96" s="466" t="s">
        <v>310</v>
      </c>
      <c r="S96" s="461">
        <v>4</v>
      </c>
      <c r="T96" s="492">
        <v>765652.58000000007</v>
      </c>
      <c r="U96" s="461">
        <v>4</v>
      </c>
      <c r="V96" s="492">
        <v>788876.85</v>
      </c>
    </row>
    <row r="97" spans="1:22" ht="3" customHeight="1" x14ac:dyDescent="0.2">
      <c r="A97" s="469"/>
      <c r="B97" s="470"/>
      <c r="C97" s="471"/>
      <c r="D97" s="470"/>
      <c r="E97" s="471"/>
      <c r="F97" s="470"/>
      <c r="G97" s="471"/>
      <c r="H97" s="470"/>
      <c r="I97" s="471"/>
      <c r="J97" s="470"/>
      <c r="K97" s="471"/>
      <c r="L97" s="435"/>
      <c r="M97" s="470"/>
      <c r="N97" s="471"/>
      <c r="O97" s="470"/>
      <c r="P97" s="471"/>
      <c r="R97" s="469"/>
      <c r="S97" s="470"/>
      <c r="T97" s="471"/>
      <c r="U97" s="470"/>
      <c r="V97" s="471"/>
    </row>
    <row r="98" spans="1:22" ht="12" thickBot="1" x14ac:dyDescent="0.25">
      <c r="A98" s="472" t="s">
        <v>205</v>
      </c>
      <c r="B98" s="473">
        <f t="shared" ref="B98:G98" si="41">SUM(B87:B97)</f>
        <v>64</v>
      </c>
      <c r="C98" s="474">
        <f t="shared" si="41"/>
        <v>7532797.9222315084</v>
      </c>
      <c r="D98" s="473">
        <f t="shared" si="41"/>
        <v>66.416666666666657</v>
      </c>
      <c r="E98" s="474">
        <f t="shared" si="41"/>
        <v>8459129.1960293166</v>
      </c>
      <c r="F98" s="473">
        <f t="shared" si="41"/>
        <v>74.75333333333333</v>
      </c>
      <c r="G98" s="474">
        <f t="shared" si="41"/>
        <v>9430836.9255344309</v>
      </c>
      <c r="H98" s="473">
        <v>83</v>
      </c>
      <c r="I98" s="474">
        <v>10756112.029999999</v>
      </c>
      <c r="J98" s="473">
        <v>83</v>
      </c>
      <c r="K98" s="474">
        <v>11353601.27</v>
      </c>
      <c r="L98" s="435"/>
      <c r="M98" s="473">
        <f>IFERROR(H98-S98,"")</f>
        <v>0</v>
      </c>
      <c r="N98" s="474">
        <f>IFERROR(I98-T98,"")</f>
        <v>0</v>
      </c>
      <c r="O98" s="473">
        <f>IFERROR(J98-U98,"")</f>
        <v>0</v>
      </c>
      <c r="P98" s="474">
        <f>IFERROR(K98-V98,"")</f>
        <v>0</v>
      </c>
      <c r="R98" s="472" t="s">
        <v>205</v>
      </c>
      <c r="S98" s="473">
        <v>83</v>
      </c>
      <c r="T98" s="474">
        <v>10756112.029999999</v>
      </c>
      <c r="U98" s="473">
        <v>83</v>
      </c>
      <c r="V98" s="474">
        <v>11353601.27</v>
      </c>
    </row>
    <row r="99" spans="1:22" ht="12" thickTop="1" x14ac:dyDescent="0.2">
      <c r="A99" s="475"/>
      <c r="B99" s="477"/>
      <c r="C99" s="476"/>
      <c r="D99" s="477"/>
      <c r="E99" s="476"/>
      <c r="F99" s="477"/>
      <c r="G99" s="476"/>
      <c r="H99" s="477"/>
      <c r="I99" s="476"/>
      <c r="J99" s="477"/>
      <c r="K99" s="476"/>
      <c r="L99" s="435"/>
      <c r="M99" s="477"/>
      <c r="N99" s="476"/>
      <c r="O99" s="477"/>
      <c r="P99" s="476"/>
      <c r="R99" s="475"/>
      <c r="S99" s="477"/>
      <c r="T99" s="476"/>
      <c r="U99" s="477"/>
      <c r="V99" s="476"/>
    </row>
    <row r="100" spans="1:22" x14ac:dyDescent="0.2">
      <c r="A100" s="476"/>
      <c r="B100" s="477"/>
      <c r="C100" s="476"/>
      <c r="D100" s="477"/>
      <c r="E100" s="476"/>
      <c r="F100" s="477"/>
      <c r="G100" s="476"/>
      <c r="H100" s="477"/>
      <c r="I100" s="476"/>
      <c r="J100" s="477"/>
      <c r="K100" s="476"/>
      <c r="L100" s="435"/>
      <c r="M100" s="477"/>
      <c r="N100" s="476"/>
      <c r="O100" s="477"/>
      <c r="P100" s="476"/>
      <c r="R100" s="476"/>
      <c r="S100" s="477"/>
      <c r="T100" s="476"/>
      <c r="U100" s="477"/>
      <c r="V100" s="476"/>
    </row>
    <row r="101" spans="1:22" x14ac:dyDescent="0.2">
      <c r="A101" s="480" t="s">
        <v>311</v>
      </c>
      <c r="B101" s="482"/>
      <c r="C101" s="481"/>
      <c r="D101" s="482"/>
      <c r="E101" s="481"/>
      <c r="F101" s="482"/>
      <c r="G101" s="481"/>
      <c r="H101" s="482"/>
      <c r="I101" s="481"/>
      <c r="J101" s="482"/>
      <c r="K101" s="481"/>
      <c r="L101" s="435"/>
      <c r="M101" s="482"/>
      <c r="N101" s="481"/>
      <c r="O101" s="482"/>
      <c r="P101" s="481"/>
      <c r="R101" s="480" t="s">
        <v>311</v>
      </c>
      <c r="S101" s="482"/>
      <c r="T101" s="481"/>
      <c r="U101" s="482"/>
      <c r="V101" s="481"/>
    </row>
    <row r="102" spans="1:22" x14ac:dyDescent="0.2">
      <c r="A102" s="455" t="s">
        <v>301</v>
      </c>
      <c r="B102" s="456">
        <v>1</v>
      </c>
      <c r="C102" s="457">
        <v>106513.29712221015</v>
      </c>
      <c r="D102" s="456">
        <v>1.9166666666666667</v>
      </c>
      <c r="E102" s="457">
        <v>194941.21229733256</v>
      </c>
      <c r="F102" s="456">
        <v>2.17</v>
      </c>
      <c r="G102" s="457">
        <v>279142.13486465818</v>
      </c>
      <c r="H102" s="456">
        <v>3</v>
      </c>
      <c r="I102" s="457">
        <v>292828.01</v>
      </c>
      <c r="J102" s="456">
        <v>3</v>
      </c>
      <c r="K102" s="457">
        <f>313315.18-11250</f>
        <v>302065.18</v>
      </c>
      <c r="L102" s="435"/>
      <c r="M102" s="456">
        <f t="shared" ref="M102:M111" si="42">IFERROR(H102-S102,"")</f>
        <v>0</v>
      </c>
      <c r="N102" s="457">
        <f t="shared" ref="N102:N111" si="43">IFERROR(I102-T102,"")</f>
        <v>0</v>
      </c>
      <c r="O102" s="456">
        <f t="shared" ref="O102:O111" si="44">IFERROR(J102-U102,"")</f>
        <v>0</v>
      </c>
      <c r="P102" s="457">
        <f t="shared" ref="P102:P111" si="45">IFERROR(K102-V102,"")</f>
        <v>0</v>
      </c>
      <c r="R102" s="455" t="s">
        <v>301</v>
      </c>
      <c r="S102" s="456">
        <v>3</v>
      </c>
      <c r="T102" s="457">
        <v>292828.01</v>
      </c>
      <c r="U102" s="456">
        <v>3</v>
      </c>
      <c r="V102" s="457">
        <v>302065.18</v>
      </c>
    </row>
    <row r="103" spans="1:22" x14ac:dyDescent="0.2">
      <c r="A103" s="460" t="s">
        <v>302</v>
      </c>
      <c r="B103" s="461">
        <v>0</v>
      </c>
      <c r="C103" s="462">
        <v>0</v>
      </c>
      <c r="D103" s="461">
        <v>0</v>
      </c>
      <c r="E103" s="462">
        <v>0</v>
      </c>
      <c r="F103" s="461">
        <v>0</v>
      </c>
      <c r="G103" s="462">
        <v>0</v>
      </c>
      <c r="H103" s="461">
        <v>0</v>
      </c>
      <c r="I103" s="462">
        <v>0</v>
      </c>
      <c r="J103" s="461">
        <v>0</v>
      </c>
      <c r="K103" s="462">
        <v>0</v>
      </c>
      <c r="L103" s="435"/>
      <c r="M103" s="461">
        <f t="shared" si="42"/>
        <v>0</v>
      </c>
      <c r="N103" s="462">
        <f t="shared" si="43"/>
        <v>0</v>
      </c>
      <c r="O103" s="461">
        <f t="shared" si="44"/>
        <v>0</v>
      </c>
      <c r="P103" s="462">
        <f t="shared" si="45"/>
        <v>0</v>
      </c>
      <c r="R103" s="460" t="s">
        <v>302</v>
      </c>
      <c r="S103" s="461">
        <v>0</v>
      </c>
      <c r="T103" s="462">
        <v>0</v>
      </c>
      <c r="U103" s="461">
        <v>0</v>
      </c>
      <c r="V103" s="462">
        <v>0</v>
      </c>
    </row>
    <row r="104" spans="1:22" x14ac:dyDescent="0.2">
      <c r="A104" s="465" t="s">
        <v>303</v>
      </c>
      <c r="B104" s="461">
        <v>0</v>
      </c>
      <c r="C104" s="462">
        <v>0</v>
      </c>
      <c r="D104" s="461">
        <v>0</v>
      </c>
      <c r="E104" s="462">
        <v>0</v>
      </c>
      <c r="F104" s="461">
        <v>0</v>
      </c>
      <c r="G104" s="462">
        <v>0</v>
      </c>
      <c r="H104" s="461">
        <v>0</v>
      </c>
      <c r="I104" s="462">
        <v>0</v>
      </c>
      <c r="J104" s="461">
        <v>0</v>
      </c>
      <c r="K104" s="462">
        <v>0</v>
      </c>
      <c r="L104" s="435"/>
      <c r="M104" s="461">
        <f t="shared" si="42"/>
        <v>0</v>
      </c>
      <c r="N104" s="462">
        <f t="shared" si="43"/>
        <v>0</v>
      </c>
      <c r="O104" s="461">
        <f t="shared" si="44"/>
        <v>0</v>
      </c>
      <c r="P104" s="462">
        <f t="shared" si="45"/>
        <v>0</v>
      </c>
      <c r="R104" s="465" t="s">
        <v>303</v>
      </c>
      <c r="S104" s="461">
        <v>0</v>
      </c>
      <c r="T104" s="462">
        <v>0</v>
      </c>
      <c r="U104" s="461">
        <v>0</v>
      </c>
      <c r="V104" s="462">
        <v>0</v>
      </c>
    </row>
    <row r="105" spans="1:22" x14ac:dyDescent="0.2">
      <c r="A105" s="465" t="s">
        <v>304</v>
      </c>
      <c r="B105" s="461">
        <v>47.81</v>
      </c>
      <c r="C105" s="462">
        <v>4043263.9555134596</v>
      </c>
      <c r="D105" s="461">
        <v>47.860833333333332</v>
      </c>
      <c r="E105" s="462">
        <v>4195252.6744865328</v>
      </c>
      <c r="F105" s="461">
        <v>53.655000000000008</v>
      </c>
      <c r="G105" s="462">
        <v>4726423.0658748178</v>
      </c>
      <c r="H105" s="461">
        <v>58.57</v>
      </c>
      <c r="I105" s="462">
        <v>5443437.8800000008</v>
      </c>
      <c r="J105" s="461">
        <v>58.57</v>
      </c>
      <c r="K105" s="462">
        <v>5738294.3199999994</v>
      </c>
      <c r="L105" s="435"/>
      <c r="M105" s="461">
        <f t="shared" si="42"/>
        <v>0</v>
      </c>
      <c r="N105" s="462">
        <f t="shared" si="43"/>
        <v>0</v>
      </c>
      <c r="O105" s="461">
        <f t="shared" si="44"/>
        <v>0</v>
      </c>
      <c r="P105" s="462">
        <f t="shared" si="45"/>
        <v>0</v>
      </c>
      <c r="R105" s="465" t="s">
        <v>304</v>
      </c>
      <c r="S105" s="461">
        <v>58.57</v>
      </c>
      <c r="T105" s="462">
        <v>5443437.8800000008</v>
      </c>
      <c r="U105" s="461">
        <v>58.57</v>
      </c>
      <c r="V105" s="462">
        <v>5738294.3199999994</v>
      </c>
    </row>
    <row r="106" spans="1:22" x14ac:dyDescent="0.2">
      <c r="A106" s="460" t="s">
        <v>305</v>
      </c>
      <c r="B106" s="461">
        <v>0</v>
      </c>
      <c r="C106" s="462">
        <v>0</v>
      </c>
      <c r="D106" s="461">
        <v>0</v>
      </c>
      <c r="E106" s="462">
        <v>0</v>
      </c>
      <c r="F106" s="461">
        <v>0</v>
      </c>
      <c r="G106" s="462">
        <v>0</v>
      </c>
      <c r="H106" s="461">
        <v>0</v>
      </c>
      <c r="I106" s="462">
        <v>0</v>
      </c>
      <c r="J106" s="461">
        <v>0</v>
      </c>
      <c r="K106" s="462">
        <v>0</v>
      </c>
      <c r="L106" s="435"/>
      <c r="M106" s="461">
        <f t="shared" si="42"/>
        <v>0</v>
      </c>
      <c r="N106" s="462">
        <f t="shared" si="43"/>
        <v>0</v>
      </c>
      <c r="O106" s="461">
        <f t="shared" si="44"/>
        <v>0</v>
      </c>
      <c r="P106" s="462">
        <f t="shared" si="45"/>
        <v>0</v>
      </c>
      <c r="R106" s="460" t="s">
        <v>305</v>
      </c>
      <c r="S106" s="461">
        <v>0</v>
      </c>
      <c r="T106" s="462">
        <v>0</v>
      </c>
      <c r="U106" s="461">
        <v>0</v>
      </c>
      <c r="V106" s="462">
        <v>0</v>
      </c>
    </row>
    <row r="107" spans="1:22" x14ac:dyDescent="0.2">
      <c r="A107" s="460" t="s">
        <v>306</v>
      </c>
      <c r="B107" s="461">
        <v>0</v>
      </c>
      <c r="C107" s="462">
        <v>0</v>
      </c>
      <c r="D107" s="461">
        <v>0</v>
      </c>
      <c r="E107" s="462">
        <v>0</v>
      </c>
      <c r="F107" s="461">
        <v>0</v>
      </c>
      <c r="G107" s="462">
        <v>0</v>
      </c>
      <c r="H107" s="461">
        <v>0</v>
      </c>
      <c r="I107" s="462">
        <v>0</v>
      </c>
      <c r="J107" s="461">
        <v>0</v>
      </c>
      <c r="K107" s="462">
        <v>0</v>
      </c>
      <c r="L107" s="435"/>
      <c r="M107" s="461">
        <f t="shared" si="42"/>
        <v>0</v>
      </c>
      <c r="N107" s="462">
        <f t="shared" si="43"/>
        <v>0</v>
      </c>
      <c r="O107" s="461">
        <f t="shared" si="44"/>
        <v>0</v>
      </c>
      <c r="P107" s="462">
        <f t="shared" si="45"/>
        <v>0</v>
      </c>
      <c r="R107" s="460" t="s">
        <v>306</v>
      </c>
      <c r="S107" s="461">
        <v>0</v>
      </c>
      <c r="T107" s="462">
        <v>0</v>
      </c>
      <c r="U107" s="461">
        <v>0</v>
      </c>
      <c r="V107" s="462">
        <v>0</v>
      </c>
    </row>
    <row r="108" spans="1:22" x14ac:dyDescent="0.2">
      <c r="A108" s="465" t="s">
        <v>307</v>
      </c>
      <c r="B108" s="461">
        <v>0</v>
      </c>
      <c r="C108" s="462">
        <v>0</v>
      </c>
      <c r="D108" s="461">
        <v>0</v>
      </c>
      <c r="E108" s="462">
        <v>0</v>
      </c>
      <c r="F108" s="461">
        <v>0</v>
      </c>
      <c r="G108" s="462">
        <v>0</v>
      </c>
      <c r="H108" s="461">
        <v>0</v>
      </c>
      <c r="I108" s="462">
        <v>0</v>
      </c>
      <c r="J108" s="461">
        <v>0</v>
      </c>
      <c r="K108" s="462">
        <v>0</v>
      </c>
      <c r="L108" s="435"/>
      <c r="M108" s="461">
        <f t="shared" si="42"/>
        <v>0</v>
      </c>
      <c r="N108" s="462">
        <f t="shared" si="43"/>
        <v>0</v>
      </c>
      <c r="O108" s="461">
        <f t="shared" si="44"/>
        <v>0</v>
      </c>
      <c r="P108" s="462">
        <f t="shared" si="45"/>
        <v>0</v>
      </c>
      <c r="R108" s="465" t="s">
        <v>307</v>
      </c>
      <c r="S108" s="461">
        <v>0</v>
      </c>
      <c r="T108" s="462">
        <v>0</v>
      </c>
      <c r="U108" s="461">
        <v>0</v>
      </c>
      <c r="V108" s="462">
        <v>0</v>
      </c>
    </row>
    <row r="109" spans="1:22" x14ac:dyDescent="0.2">
      <c r="A109" s="465" t="s">
        <v>308</v>
      </c>
      <c r="B109" s="461">
        <v>0</v>
      </c>
      <c r="C109" s="462">
        <v>0</v>
      </c>
      <c r="D109" s="461">
        <v>0</v>
      </c>
      <c r="E109" s="462">
        <v>0</v>
      </c>
      <c r="F109" s="461">
        <v>0</v>
      </c>
      <c r="G109" s="462">
        <v>0</v>
      </c>
      <c r="H109" s="461">
        <v>0</v>
      </c>
      <c r="I109" s="462">
        <v>0</v>
      </c>
      <c r="J109" s="461">
        <v>0</v>
      </c>
      <c r="K109" s="462">
        <v>0</v>
      </c>
      <c r="L109" s="435"/>
      <c r="M109" s="461">
        <f t="shared" si="42"/>
        <v>0</v>
      </c>
      <c r="N109" s="462">
        <f t="shared" si="43"/>
        <v>0</v>
      </c>
      <c r="O109" s="461">
        <f t="shared" si="44"/>
        <v>0</v>
      </c>
      <c r="P109" s="462">
        <f t="shared" si="45"/>
        <v>0</v>
      </c>
      <c r="R109" s="465" t="s">
        <v>308</v>
      </c>
      <c r="S109" s="461">
        <v>0</v>
      </c>
      <c r="T109" s="462">
        <v>0</v>
      </c>
      <c r="U109" s="461">
        <v>0</v>
      </c>
      <c r="V109" s="462">
        <v>0</v>
      </c>
    </row>
    <row r="110" spans="1:22" x14ac:dyDescent="0.2">
      <c r="A110" s="465" t="s">
        <v>309</v>
      </c>
      <c r="B110" s="461">
        <v>0</v>
      </c>
      <c r="C110" s="462">
        <v>0</v>
      </c>
      <c r="D110" s="461">
        <v>0</v>
      </c>
      <c r="E110" s="462">
        <v>0</v>
      </c>
      <c r="F110" s="461">
        <v>0</v>
      </c>
      <c r="G110" s="462">
        <v>0</v>
      </c>
      <c r="H110" s="461">
        <v>0</v>
      </c>
      <c r="I110" s="462">
        <v>0</v>
      </c>
      <c r="J110" s="461">
        <v>0</v>
      </c>
      <c r="K110" s="462">
        <v>0</v>
      </c>
      <c r="L110" s="435"/>
      <c r="M110" s="461">
        <f t="shared" si="42"/>
        <v>0</v>
      </c>
      <c r="N110" s="462">
        <f t="shared" si="43"/>
        <v>0</v>
      </c>
      <c r="O110" s="461">
        <f t="shared" si="44"/>
        <v>0</v>
      </c>
      <c r="P110" s="462">
        <f t="shared" si="45"/>
        <v>0</v>
      </c>
      <c r="R110" s="465" t="s">
        <v>309</v>
      </c>
      <c r="S110" s="461">
        <v>0</v>
      </c>
      <c r="T110" s="462">
        <v>0</v>
      </c>
      <c r="U110" s="461">
        <v>0</v>
      </c>
      <c r="V110" s="462">
        <v>0</v>
      </c>
    </row>
    <row r="111" spans="1:22" x14ac:dyDescent="0.2">
      <c r="A111" s="466" t="s">
        <v>310</v>
      </c>
      <c r="B111" s="461">
        <v>3.1833333333333336</v>
      </c>
      <c r="C111" s="462">
        <v>270179.49941558589</v>
      </c>
      <c r="D111" s="461">
        <v>3.1775000000000002</v>
      </c>
      <c r="E111" s="462">
        <v>286879.1112577903</v>
      </c>
      <c r="F111" s="461">
        <v>3.7758333333333343</v>
      </c>
      <c r="G111" s="462">
        <v>343122.58056296333</v>
      </c>
      <c r="H111" s="461">
        <v>3.91</v>
      </c>
      <c r="I111" s="492">
        <v>365561.66</v>
      </c>
      <c r="J111" s="461">
        <v>3.91</v>
      </c>
      <c r="K111" s="492">
        <v>376465.68999999994</v>
      </c>
      <c r="L111" s="435"/>
      <c r="M111" s="461">
        <f t="shared" si="42"/>
        <v>0</v>
      </c>
      <c r="N111" s="492">
        <f t="shared" si="43"/>
        <v>0</v>
      </c>
      <c r="O111" s="461">
        <f t="shared" si="44"/>
        <v>0</v>
      </c>
      <c r="P111" s="492">
        <f t="shared" si="45"/>
        <v>0</v>
      </c>
      <c r="R111" s="466" t="s">
        <v>310</v>
      </c>
      <c r="S111" s="461">
        <v>3.91</v>
      </c>
      <c r="T111" s="492">
        <v>365561.66</v>
      </c>
      <c r="U111" s="461">
        <v>3.91</v>
      </c>
      <c r="V111" s="492">
        <v>376465.68999999994</v>
      </c>
    </row>
    <row r="112" spans="1:22" ht="3" customHeight="1" x14ac:dyDescent="0.2">
      <c r="A112" s="469"/>
      <c r="B112" s="470"/>
      <c r="C112" s="471"/>
      <c r="D112" s="470"/>
      <c r="E112" s="471"/>
      <c r="F112" s="470"/>
      <c r="G112" s="471"/>
      <c r="H112" s="470"/>
      <c r="I112" s="471"/>
      <c r="J112" s="470"/>
      <c r="K112" s="471"/>
      <c r="L112" s="435"/>
      <c r="M112" s="470"/>
      <c r="N112" s="471"/>
      <c r="O112" s="470"/>
      <c r="P112" s="471"/>
      <c r="R112" s="469"/>
      <c r="S112" s="470"/>
      <c r="T112" s="471"/>
      <c r="U112" s="470"/>
      <c r="V112" s="471"/>
    </row>
    <row r="113" spans="1:22" ht="12" thickBot="1" x14ac:dyDescent="0.25">
      <c r="A113" s="472" t="s">
        <v>205</v>
      </c>
      <c r="B113" s="473">
        <f t="shared" ref="B113:G113" si="46">SUM(B102:B112)</f>
        <v>51.993333333333339</v>
      </c>
      <c r="C113" s="474">
        <f t="shared" si="46"/>
        <v>4419956.7520512557</v>
      </c>
      <c r="D113" s="473">
        <f t="shared" si="46"/>
        <v>52.954999999999998</v>
      </c>
      <c r="E113" s="474">
        <f t="shared" si="46"/>
        <v>4677072.9980416559</v>
      </c>
      <c r="F113" s="473">
        <f t="shared" si="46"/>
        <v>59.600833333333341</v>
      </c>
      <c r="G113" s="474">
        <f t="shared" si="46"/>
        <v>5348687.781302439</v>
      </c>
      <c r="H113" s="473">
        <v>65.48</v>
      </c>
      <c r="I113" s="474">
        <v>6101827.5500000007</v>
      </c>
      <c r="J113" s="473">
        <v>65.48</v>
      </c>
      <c r="K113" s="474">
        <f>SUM(K102:K112)</f>
        <v>6416825.1899999995</v>
      </c>
      <c r="L113" s="435"/>
      <c r="M113" s="473">
        <f>IFERROR(H113-S113,"")</f>
        <v>0</v>
      </c>
      <c r="N113" s="474">
        <f>IFERROR(I113-T113,"")</f>
        <v>0</v>
      </c>
      <c r="O113" s="473">
        <f>IFERROR(J113-U113,"")</f>
        <v>0</v>
      </c>
      <c r="P113" s="474">
        <f>IFERROR(K113-V113,"")</f>
        <v>0</v>
      </c>
      <c r="R113" s="472" t="s">
        <v>205</v>
      </c>
      <c r="S113" s="473">
        <v>65.48</v>
      </c>
      <c r="T113" s="474">
        <v>6101827.5500000007</v>
      </c>
      <c r="U113" s="473">
        <v>65.48</v>
      </c>
      <c r="V113" s="474">
        <v>6416825.1899999995</v>
      </c>
    </row>
    <row r="114" spans="1:22" ht="12" thickTop="1" x14ac:dyDescent="0.2">
      <c r="A114" s="475"/>
      <c r="B114" s="477"/>
      <c r="C114" s="476"/>
      <c r="D114" s="477"/>
      <c r="E114" s="476"/>
      <c r="F114" s="477"/>
      <c r="G114" s="476"/>
      <c r="H114" s="477"/>
      <c r="I114" s="476"/>
      <c r="J114" s="477"/>
      <c r="K114" s="476"/>
      <c r="L114" s="435"/>
      <c r="M114" s="477"/>
      <c r="N114" s="476"/>
      <c r="O114" s="477"/>
      <c r="P114" s="476"/>
      <c r="R114" s="475"/>
      <c r="S114" s="477"/>
      <c r="T114" s="476"/>
      <c r="U114" s="477"/>
      <c r="V114" s="476"/>
    </row>
    <row r="115" spans="1:22" ht="12.75" x14ac:dyDescent="0.2">
      <c r="A115" s="476"/>
      <c r="B115" s="493"/>
      <c r="C115" s="483"/>
      <c r="D115" s="493"/>
      <c r="E115" s="483"/>
      <c r="F115" s="493"/>
      <c r="G115" s="483"/>
      <c r="H115" s="493"/>
      <c r="I115" s="494"/>
      <c r="J115" s="493"/>
      <c r="K115" s="494"/>
      <c r="L115" s="435"/>
      <c r="M115" s="493"/>
      <c r="N115" s="494"/>
      <c r="O115" s="493"/>
      <c r="P115" s="494"/>
      <c r="R115" s="476"/>
      <c r="S115" s="493"/>
      <c r="T115" s="494"/>
      <c r="U115" s="493"/>
      <c r="V115" s="494"/>
    </row>
    <row r="116" spans="1:22" x14ac:dyDescent="0.2">
      <c r="A116" s="485" t="s">
        <v>312</v>
      </c>
      <c r="B116" s="487"/>
      <c r="C116" s="486"/>
      <c r="D116" s="487"/>
      <c r="E116" s="486"/>
      <c r="F116" s="487"/>
      <c r="G116" s="486"/>
      <c r="H116" s="487"/>
      <c r="I116" s="486"/>
      <c r="J116" s="487"/>
      <c r="K116" s="486"/>
      <c r="L116" s="435"/>
      <c r="M116" s="487"/>
      <c r="N116" s="486"/>
      <c r="O116" s="487"/>
      <c r="P116" s="486"/>
      <c r="R116" s="485" t="s">
        <v>312</v>
      </c>
      <c r="S116" s="487"/>
      <c r="T116" s="486"/>
      <c r="U116" s="487"/>
      <c r="V116" s="486"/>
    </row>
    <row r="117" spans="1:22" x14ac:dyDescent="0.2">
      <c r="A117" s="455" t="s">
        <v>301</v>
      </c>
      <c r="B117" s="456">
        <v>0</v>
      </c>
      <c r="C117" s="457">
        <v>11430.040483866247</v>
      </c>
      <c r="D117" s="456">
        <v>0</v>
      </c>
      <c r="E117" s="457">
        <v>25350.384000193102</v>
      </c>
      <c r="F117" s="456">
        <v>0</v>
      </c>
      <c r="G117" s="457">
        <v>33364.904632022117</v>
      </c>
      <c r="H117" s="456">
        <v>0</v>
      </c>
      <c r="I117" s="457">
        <v>56615.86</v>
      </c>
      <c r="J117" s="456">
        <v>0</v>
      </c>
      <c r="K117" s="457">
        <v>61283.540000000008</v>
      </c>
      <c r="L117" s="435"/>
      <c r="M117" s="456">
        <f t="shared" ref="M117:M126" si="47">IFERROR(H117-S117,"")</f>
        <v>0</v>
      </c>
      <c r="N117" s="457">
        <f t="shared" ref="N117:N126" si="48">IFERROR(I117-T117,"")</f>
        <v>0</v>
      </c>
      <c r="O117" s="456">
        <f t="shared" ref="O117:O126" si="49">IFERROR(J117-U117,"")</f>
        <v>0</v>
      </c>
      <c r="P117" s="457">
        <f t="shared" ref="P117:P126" si="50">IFERROR(K117-V117,"")</f>
        <v>0</v>
      </c>
      <c r="R117" s="455" t="s">
        <v>301</v>
      </c>
      <c r="S117" s="456">
        <v>0</v>
      </c>
      <c r="T117" s="457">
        <v>56615.86</v>
      </c>
      <c r="U117" s="456">
        <v>0</v>
      </c>
      <c r="V117" s="457">
        <v>61283.540000000008</v>
      </c>
    </row>
    <row r="118" spans="1:22" x14ac:dyDescent="0.2">
      <c r="A118" s="460" t="s">
        <v>302</v>
      </c>
      <c r="B118" s="461">
        <v>0</v>
      </c>
      <c r="C118" s="462">
        <v>0</v>
      </c>
      <c r="D118" s="461">
        <v>0</v>
      </c>
      <c r="E118" s="462">
        <v>0</v>
      </c>
      <c r="F118" s="461">
        <v>0</v>
      </c>
      <c r="G118" s="462">
        <v>0</v>
      </c>
      <c r="H118" s="461">
        <v>0</v>
      </c>
      <c r="I118" s="462">
        <v>0</v>
      </c>
      <c r="J118" s="461">
        <v>0</v>
      </c>
      <c r="K118" s="462">
        <v>0</v>
      </c>
      <c r="L118" s="435"/>
      <c r="M118" s="461">
        <f t="shared" si="47"/>
        <v>0</v>
      </c>
      <c r="N118" s="462">
        <f t="shared" si="48"/>
        <v>0</v>
      </c>
      <c r="O118" s="461">
        <f t="shared" si="49"/>
        <v>0</v>
      </c>
      <c r="P118" s="462">
        <f t="shared" si="50"/>
        <v>0</v>
      </c>
      <c r="R118" s="460" t="s">
        <v>302</v>
      </c>
      <c r="S118" s="461">
        <v>0</v>
      </c>
      <c r="T118" s="462">
        <v>0</v>
      </c>
      <c r="U118" s="461">
        <v>0</v>
      </c>
      <c r="V118" s="462">
        <v>0</v>
      </c>
    </row>
    <row r="119" spans="1:22" x14ac:dyDescent="0.2">
      <c r="A119" s="465" t="s">
        <v>303</v>
      </c>
      <c r="B119" s="461">
        <v>0</v>
      </c>
      <c r="C119" s="462">
        <v>0</v>
      </c>
      <c r="D119" s="461">
        <v>0</v>
      </c>
      <c r="E119" s="462">
        <v>0</v>
      </c>
      <c r="F119" s="461">
        <v>0</v>
      </c>
      <c r="G119" s="462">
        <v>0</v>
      </c>
      <c r="H119" s="461">
        <v>0</v>
      </c>
      <c r="I119" s="462">
        <v>0</v>
      </c>
      <c r="J119" s="461">
        <v>0</v>
      </c>
      <c r="K119" s="462">
        <v>0</v>
      </c>
      <c r="L119" s="435"/>
      <c r="M119" s="461">
        <f t="shared" si="47"/>
        <v>0</v>
      </c>
      <c r="N119" s="462">
        <f t="shared" si="48"/>
        <v>0</v>
      </c>
      <c r="O119" s="461">
        <f t="shared" si="49"/>
        <v>0</v>
      </c>
      <c r="P119" s="462">
        <f t="shared" si="50"/>
        <v>0</v>
      </c>
      <c r="R119" s="465" t="s">
        <v>303</v>
      </c>
      <c r="S119" s="461">
        <v>0</v>
      </c>
      <c r="T119" s="462">
        <v>0</v>
      </c>
      <c r="U119" s="461">
        <v>0</v>
      </c>
      <c r="V119" s="462">
        <v>0</v>
      </c>
    </row>
    <row r="120" spans="1:22" x14ac:dyDescent="0.2">
      <c r="A120" s="465" t="s">
        <v>304</v>
      </c>
      <c r="B120" s="461">
        <v>0</v>
      </c>
      <c r="C120" s="462">
        <v>876287.57806152222</v>
      </c>
      <c r="D120" s="461">
        <v>0</v>
      </c>
      <c r="E120" s="462">
        <v>945978.3473795898</v>
      </c>
      <c r="F120" s="461">
        <v>0</v>
      </c>
      <c r="G120" s="462">
        <v>963169.97515189741</v>
      </c>
      <c r="H120" s="461">
        <v>0</v>
      </c>
      <c r="I120" s="462">
        <v>1106858.47</v>
      </c>
      <c r="J120" s="461">
        <v>0</v>
      </c>
      <c r="K120" s="462">
        <v>1203543.21</v>
      </c>
      <c r="L120" s="435"/>
      <c r="M120" s="461">
        <f t="shared" si="47"/>
        <v>0</v>
      </c>
      <c r="N120" s="462">
        <f t="shared" si="48"/>
        <v>0</v>
      </c>
      <c r="O120" s="461">
        <f t="shared" si="49"/>
        <v>0</v>
      </c>
      <c r="P120" s="462">
        <f t="shared" si="50"/>
        <v>0</v>
      </c>
      <c r="R120" s="465" t="s">
        <v>304</v>
      </c>
      <c r="S120" s="461">
        <v>0</v>
      </c>
      <c r="T120" s="462">
        <v>1106858.47</v>
      </c>
      <c r="U120" s="461">
        <v>0</v>
      </c>
      <c r="V120" s="462">
        <v>1203543.21</v>
      </c>
    </row>
    <row r="121" spans="1:22" x14ac:dyDescent="0.2">
      <c r="A121" s="460" t="s">
        <v>305</v>
      </c>
      <c r="B121" s="461">
        <v>0</v>
      </c>
      <c r="C121" s="462">
        <v>0</v>
      </c>
      <c r="D121" s="461">
        <v>0</v>
      </c>
      <c r="E121" s="462">
        <v>0</v>
      </c>
      <c r="F121" s="461">
        <v>0</v>
      </c>
      <c r="G121" s="462">
        <v>0</v>
      </c>
      <c r="H121" s="461">
        <v>0</v>
      </c>
      <c r="I121" s="462">
        <v>0</v>
      </c>
      <c r="J121" s="461">
        <v>0</v>
      </c>
      <c r="K121" s="462">
        <v>0</v>
      </c>
      <c r="L121" s="435"/>
      <c r="M121" s="461">
        <f t="shared" si="47"/>
        <v>0</v>
      </c>
      <c r="N121" s="462">
        <f t="shared" si="48"/>
        <v>0</v>
      </c>
      <c r="O121" s="461">
        <f t="shared" si="49"/>
        <v>0</v>
      </c>
      <c r="P121" s="462">
        <f t="shared" si="50"/>
        <v>0</v>
      </c>
      <c r="R121" s="460" t="s">
        <v>305</v>
      </c>
      <c r="S121" s="461">
        <v>0</v>
      </c>
      <c r="T121" s="462">
        <v>0</v>
      </c>
      <c r="U121" s="461">
        <v>0</v>
      </c>
      <c r="V121" s="462">
        <v>0</v>
      </c>
    </row>
    <row r="122" spans="1:22" x14ac:dyDescent="0.2">
      <c r="A122" s="460" t="s">
        <v>306</v>
      </c>
      <c r="B122" s="461">
        <v>0</v>
      </c>
      <c r="C122" s="462">
        <v>0</v>
      </c>
      <c r="D122" s="461">
        <v>0</v>
      </c>
      <c r="E122" s="462">
        <v>0</v>
      </c>
      <c r="F122" s="461">
        <v>0</v>
      </c>
      <c r="G122" s="462">
        <v>0</v>
      </c>
      <c r="H122" s="461">
        <v>0</v>
      </c>
      <c r="I122" s="462">
        <v>0</v>
      </c>
      <c r="J122" s="461">
        <v>0</v>
      </c>
      <c r="K122" s="462">
        <v>0</v>
      </c>
      <c r="L122" s="435"/>
      <c r="M122" s="461">
        <f t="shared" si="47"/>
        <v>0</v>
      </c>
      <c r="N122" s="462">
        <f t="shared" si="48"/>
        <v>0</v>
      </c>
      <c r="O122" s="461">
        <f t="shared" si="49"/>
        <v>0</v>
      </c>
      <c r="P122" s="462">
        <f t="shared" si="50"/>
        <v>0</v>
      </c>
      <c r="R122" s="460" t="s">
        <v>306</v>
      </c>
      <c r="S122" s="461">
        <v>0</v>
      </c>
      <c r="T122" s="462">
        <v>0</v>
      </c>
      <c r="U122" s="461">
        <v>0</v>
      </c>
      <c r="V122" s="462">
        <v>0</v>
      </c>
    </row>
    <row r="123" spans="1:22" x14ac:dyDescent="0.2">
      <c r="A123" s="465" t="s">
        <v>307</v>
      </c>
      <c r="B123" s="461">
        <v>0</v>
      </c>
      <c r="C123" s="462">
        <v>0</v>
      </c>
      <c r="D123" s="461">
        <v>0</v>
      </c>
      <c r="E123" s="462">
        <v>0</v>
      </c>
      <c r="F123" s="461">
        <v>0</v>
      </c>
      <c r="G123" s="462">
        <v>0</v>
      </c>
      <c r="H123" s="461">
        <v>0</v>
      </c>
      <c r="I123" s="462">
        <v>0</v>
      </c>
      <c r="J123" s="461">
        <v>0</v>
      </c>
      <c r="K123" s="462">
        <v>0</v>
      </c>
      <c r="L123" s="435"/>
      <c r="M123" s="461">
        <f t="shared" si="47"/>
        <v>0</v>
      </c>
      <c r="N123" s="462">
        <f t="shared" si="48"/>
        <v>0</v>
      </c>
      <c r="O123" s="461">
        <f t="shared" si="49"/>
        <v>0</v>
      </c>
      <c r="P123" s="462">
        <f t="shared" si="50"/>
        <v>0</v>
      </c>
      <c r="R123" s="465" t="s">
        <v>307</v>
      </c>
      <c r="S123" s="461">
        <v>0</v>
      </c>
      <c r="T123" s="462">
        <v>0</v>
      </c>
      <c r="U123" s="461">
        <v>0</v>
      </c>
      <c r="V123" s="462">
        <v>0</v>
      </c>
    </row>
    <row r="124" spans="1:22" x14ac:dyDescent="0.2">
      <c r="A124" s="465" t="s">
        <v>308</v>
      </c>
      <c r="B124" s="461">
        <v>0</v>
      </c>
      <c r="C124" s="462">
        <v>0</v>
      </c>
      <c r="D124" s="461">
        <v>0</v>
      </c>
      <c r="E124" s="462">
        <v>0</v>
      </c>
      <c r="F124" s="461">
        <v>0</v>
      </c>
      <c r="G124" s="462">
        <v>0</v>
      </c>
      <c r="H124" s="461">
        <v>0</v>
      </c>
      <c r="I124" s="462">
        <v>0</v>
      </c>
      <c r="J124" s="461">
        <v>0</v>
      </c>
      <c r="K124" s="462">
        <v>0</v>
      </c>
      <c r="L124" s="435"/>
      <c r="M124" s="461">
        <f t="shared" si="47"/>
        <v>0</v>
      </c>
      <c r="N124" s="462">
        <f t="shared" si="48"/>
        <v>0</v>
      </c>
      <c r="O124" s="461">
        <f t="shared" si="49"/>
        <v>0</v>
      </c>
      <c r="P124" s="462">
        <f t="shared" si="50"/>
        <v>0</v>
      </c>
      <c r="R124" s="465" t="s">
        <v>308</v>
      </c>
      <c r="S124" s="461">
        <v>0</v>
      </c>
      <c r="T124" s="462">
        <v>0</v>
      </c>
      <c r="U124" s="461">
        <v>0</v>
      </c>
      <c r="V124" s="462">
        <v>0</v>
      </c>
    </row>
    <row r="125" spans="1:22" x14ac:dyDescent="0.2">
      <c r="A125" s="465" t="s">
        <v>309</v>
      </c>
      <c r="B125" s="461">
        <v>0</v>
      </c>
      <c r="C125" s="462">
        <v>0</v>
      </c>
      <c r="D125" s="461">
        <v>0</v>
      </c>
      <c r="E125" s="462">
        <v>0</v>
      </c>
      <c r="F125" s="461">
        <v>0</v>
      </c>
      <c r="G125" s="462">
        <v>0</v>
      </c>
      <c r="H125" s="461">
        <v>0</v>
      </c>
      <c r="I125" s="462">
        <v>0</v>
      </c>
      <c r="J125" s="461">
        <v>0</v>
      </c>
      <c r="K125" s="462">
        <v>0</v>
      </c>
      <c r="L125" s="435"/>
      <c r="M125" s="461">
        <f t="shared" si="47"/>
        <v>0</v>
      </c>
      <c r="N125" s="462">
        <f t="shared" si="48"/>
        <v>0</v>
      </c>
      <c r="O125" s="461">
        <f t="shared" si="49"/>
        <v>0</v>
      </c>
      <c r="P125" s="462">
        <f t="shared" si="50"/>
        <v>0</v>
      </c>
      <c r="R125" s="465" t="s">
        <v>309</v>
      </c>
      <c r="S125" s="461">
        <v>0</v>
      </c>
      <c r="T125" s="462">
        <v>0</v>
      </c>
      <c r="U125" s="461">
        <v>0</v>
      </c>
      <c r="V125" s="462">
        <v>0</v>
      </c>
    </row>
    <row r="126" spans="1:22" x14ac:dyDescent="0.2">
      <c r="A126" s="466" t="s">
        <v>310</v>
      </c>
      <c r="B126" s="461">
        <v>0</v>
      </c>
      <c r="C126" s="462">
        <v>63867.110642385451</v>
      </c>
      <c r="D126" s="461">
        <v>0</v>
      </c>
      <c r="E126" s="462">
        <v>84851.219111102691</v>
      </c>
      <c r="F126" s="461">
        <v>0</v>
      </c>
      <c r="G126" s="462">
        <v>91064.118046723976</v>
      </c>
      <c r="H126" s="461">
        <v>0</v>
      </c>
      <c r="I126" s="492">
        <v>82477.029999999984</v>
      </c>
      <c r="J126" s="461">
        <v>0</v>
      </c>
      <c r="K126" s="492">
        <v>85254.500000000015</v>
      </c>
      <c r="L126" s="435"/>
      <c r="M126" s="461">
        <f t="shared" si="47"/>
        <v>0</v>
      </c>
      <c r="N126" s="492">
        <f t="shared" si="48"/>
        <v>0</v>
      </c>
      <c r="O126" s="461">
        <f t="shared" si="49"/>
        <v>0</v>
      </c>
      <c r="P126" s="492">
        <f t="shared" si="50"/>
        <v>0</v>
      </c>
      <c r="R126" s="466" t="s">
        <v>310</v>
      </c>
      <c r="S126" s="461">
        <v>0</v>
      </c>
      <c r="T126" s="492">
        <v>82477.029999999984</v>
      </c>
      <c r="U126" s="461">
        <v>0</v>
      </c>
      <c r="V126" s="492">
        <v>85254.500000000015</v>
      </c>
    </row>
    <row r="127" spans="1:22" ht="3" customHeight="1" x14ac:dyDescent="0.2">
      <c r="A127" s="469"/>
      <c r="B127" s="470"/>
      <c r="C127" s="471"/>
      <c r="D127" s="470"/>
      <c r="E127" s="471"/>
      <c r="F127" s="470"/>
      <c r="G127" s="471"/>
      <c r="H127" s="470"/>
      <c r="I127" s="471"/>
      <c r="J127" s="470"/>
      <c r="K127" s="471"/>
      <c r="L127" s="435"/>
      <c r="M127" s="470"/>
      <c r="N127" s="471"/>
      <c r="O127" s="470"/>
      <c r="P127" s="471"/>
      <c r="R127" s="469"/>
      <c r="S127" s="470"/>
      <c r="T127" s="471"/>
      <c r="U127" s="470"/>
      <c r="V127" s="471"/>
    </row>
    <row r="128" spans="1:22" ht="15" customHeight="1" thickBot="1" x14ac:dyDescent="0.25">
      <c r="A128" s="472" t="s">
        <v>205</v>
      </c>
      <c r="B128" s="473">
        <f t="shared" ref="B128:G128" si="51">SUM(B117:B127)</f>
        <v>0</v>
      </c>
      <c r="C128" s="474">
        <f t="shared" si="51"/>
        <v>951584.72918777389</v>
      </c>
      <c r="D128" s="473">
        <f t="shared" si="51"/>
        <v>0</v>
      </c>
      <c r="E128" s="474">
        <f t="shared" si="51"/>
        <v>1056179.9504908856</v>
      </c>
      <c r="F128" s="473">
        <f t="shared" si="51"/>
        <v>0</v>
      </c>
      <c r="G128" s="474">
        <f t="shared" si="51"/>
        <v>1087598.9978306436</v>
      </c>
      <c r="H128" s="473">
        <v>0</v>
      </c>
      <c r="I128" s="474">
        <v>1245951.3600000001</v>
      </c>
      <c r="J128" s="473">
        <v>0</v>
      </c>
      <c r="K128" s="474">
        <v>1350081.25</v>
      </c>
      <c r="L128" s="435"/>
      <c r="M128" s="473">
        <f>IFERROR(H128-S128,"")</f>
        <v>0</v>
      </c>
      <c r="N128" s="474">
        <f>IFERROR(I128-T128,"")</f>
        <v>0</v>
      </c>
      <c r="O128" s="473">
        <f>IFERROR(J128-U128,"")</f>
        <v>0</v>
      </c>
      <c r="P128" s="474">
        <f>IFERROR(K128-V128,"")</f>
        <v>0</v>
      </c>
      <c r="R128" s="472" t="s">
        <v>205</v>
      </c>
      <c r="S128" s="473">
        <v>0</v>
      </c>
      <c r="T128" s="474">
        <v>1245951.3600000001</v>
      </c>
      <c r="U128" s="473">
        <v>0</v>
      </c>
      <c r="V128" s="474">
        <v>1350081.25</v>
      </c>
    </row>
    <row r="129" spans="1:22" ht="12" thickTop="1" x14ac:dyDescent="0.2">
      <c r="A129" s="475"/>
      <c r="B129" s="477"/>
      <c r="C129" s="476"/>
      <c r="D129" s="477"/>
      <c r="E129" s="476"/>
      <c r="F129" s="477"/>
      <c r="G129" s="476"/>
      <c r="H129" s="477"/>
      <c r="I129" s="476"/>
      <c r="J129" s="477"/>
      <c r="K129" s="476"/>
      <c r="L129" s="435"/>
      <c r="M129" s="477"/>
      <c r="N129" s="476"/>
      <c r="O129" s="477"/>
      <c r="P129" s="476"/>
      <c r="R129" s="475"/>
      <c r="S129" s="477"/>
      <c r="T129" s="476"/>
      <c r="U129" s="477"/>
      <c r="V129" s="476"/>
    </row>
    <row r="130" spans="1:22" x14ac:dyDescent="0.2">
      <c r="A130" s="476"/>
      <c r="B130" s="477"/>
      <c r="C130" s="476"/>
      <c r="D130" s="477"/>
      <c r="E130" s="476"/>
      <c r="F130" s="477"/>
      <c r="G130" s="476"/>
      <c r="H130" s="477"/>
      <c r="I130" s="476"/>
      <c r="J130" s="477"/>
      <c r="K130" s="476"/>
      <c r="L130" s="435"/>
      <c r="M130" s="477"/>
      <c r="N130" s="476"/>
      <c r="O130" s="477"/>
      <c r="P130" s="476"/>
      <c r="R130" s="476"/>
      <c r="S130" s="477"/>
      <c r="T130" s="476"/>
      <c r="U130" s="477"/>
      <c r="V130" s="476"/>
    </row>
    <row r="131" spans="1:22" x14ac:dyDescent="0.2">
      <c r="A131" s="480" t="s">
        <v>313</v>
      </c>
      <c r="B131" s="487"/>
      <c r="C131" s="486"/>
      <c r="D131" s="487"/>
      <c r="E131" s="486"/>
      <c r="F131" s="487"/>
      <c r="G131" s="486"/>
      <c r="H131" s="487"/>
      <c r="I131" s="486"/>
      <c r="J131" s="487"/>
      <c r="K131" s="486"/>
      <c r="L131" s="435"/>
      <c r="M131" s="487"/>
      <c r="N131" s="486"/>
      <c r="O131" s="487"/>
      <c r="P131" s="486"/>
      <c r="R131" s="480" t="s">
        <v>313</v>
      </c>
      <c r="S131" s="487"/>
      <c r="T131" s="486"/>
      <c r="U131" s="487"/>
      <c r="V131" s="486"/>
    </row>
    <row r="132" spans="1:22" x14ac:dyDescent="0.2">
      <c r="A132" s="455" t="s">
        <v>301</v>
      </c>
      <c r="B132" s="456">
        <v>0</v>
      </c>
      <c r="C132" s="457">
        <v>0</v>
      </c>
      <c r="D132" s="456">
        <v>0</v>
      </c>
      <c r="E132" s="457">
        <v>0</v>
      </c>
      <c r="F132" s="456">
        <v>0</v>
      </c>
      <c r="G132" s="457">
        <v>0</v>
      </c>
      <c r="H132" s="456">
        <v>0</v>
      </c>
      <c r="I132" s="457">
        <v>0</v>
      </c>
      <c r="J132" s="456">
        <v>0</v>
      </c>
      <c r="K132" s="457">
        <v>0</v>
      </c>
      <c r="L132" s="435"/>
      <c r="M132" s="456">
        <f t="shared" ref="M132:M141" si="52">IFERROR(H132-S132,"")</f>
        <v>0</v>
      </c>
      <c r="N132" s="457">
        <f t="shared" ref="N132:N141" si="53">IFERROR(I132-T132,"")</f>
        <v>0</v>
      </c>
      <c r="O132" s="456">
        <f t="shared" ref="O132:O141" si="54">IFERROR(J132-U132,"")</f>
        <v>0</v>
      </c>
      <c r="P132" s="457">
        <f t="shared" ref="P132:P141" si="55">IFERROR(K132-V132,"")</f>
        <v>0</v>
      </c>
      <c r="R132" s="455" t="s">
        <v>301</v>
      </c>
      <c r="S132" s="456">
        <v>0</v>
      </c>
      <c r="T132" s="457">
        <v>0</v>
      </c>
      <c r="U132" s="456">
        <v>0</v>
      </c>
      <c r="V132" s="457">
        <v>0</v>
      </c>
    </row>
    <row r="133" spans="1:22" x14ac:dyDescent="0.2">
      <c r="A133" s="460" t="s">
        <v>302</v>
      </c>
      <c r="B133" s="461">
        <v>0</v>
      </c>
      <c r="C133" s="462">
        <v>0</v>
      </c>
      <c r="D133" s="461">
        <v>0</v>
      </c>
      <c r="E133" s="462">
        <v>0</v>
      </c>
      <c r="F133" s="461">
        <v>0</v>
      </c>
      <c r="G133" s="462">
        <v>0</v>
      </c>
      <c r="H133" s="461">
        <v>0</v>
      </c>
      <c r="I133" s="462">
        <v>0</v>
      </c>
      <c r="J133" s="461">
        <v>0</v>
      </c>
      <c r="K133" s="462">
        <v>0</v>
      </c>
      <c r="L133" s="435"/>
      <c r="M133" s="461">
        <f t="shared" si="52"/>
        <v>0</v>
      </c>
      <c r="N133" s="462">
        <f t="shared" si="53"/>
        <v>0</v>
      </c>
      <c r="O133" s="461">
        <f t="shared" si="54"/>
        <v>0</v>
      </c>
      <c r="P133" s="462">
        <f t="shared" si="55"/>
        <v>0</v>
      </c>
      <c r="R133" s="460" t="s">
        <v>302</v>
      </c>
      <c r="S133" s="461">
        <v>0</v>
      </c>
      <c r="T133" s="462">
        <v>0</v>
      </c>
      <c r="U133" s="461">
        <v>0</v>
      </c>
      <c r="V133" s="462">
        <v>0</v>
      </c>
    </row>
    <row r="134" spans="1:22" x14ac:dyDescent="0.2">
      <c r="A134" s="465" t="s">
        <v>303</v>
      </c>
      <c r="B134" s="461">
        <v>0</v>
      </c>
      <c r="C134" s="462">
        <v>0</v>
      </c>
      <c r="D134" s="461">
        <v>0</v>
      </c>
      <c r="E134" s="462">
        <v>0</v>
      </c>
      <c r="F134" s="461">
        <v>0</v>
      </c>
      <c r="G134" s="462">
        <v>0</v>
      </c>
      <c r="H134" s="461">
        <v>0</v>
      </c>
      <c r="I134" s="462">
        <v>0</v>
      </c>
      <c r="J134" s="461">
        <v>0</v>
      </c>
      <c r="K134" s="462">
        <v>0</v>
      </c>
      <c r="L134" s="435"/>
      <c r="M134" s="461">
        <f t="shared" si="52"/>
        <v>0</v>
      </c>
      <c r="N134" s="462">
        <f t="shared" si="53"/>
        <v>0</v>
      </c>
      <c r="O134" s="461">
        <f t="shared" si="54"/>
        <v>0</v>
      </c>
      <c r="P134" s="462">
        <f t="shared" si="55"/>
        <v>0</v>
      </c>
      <c r="R134" s="465" t="s">
        <v>303</v>
      </c>
      <c r="S134" s="461">
        <v>0</v>
      </c>
      <c r="T134" s="462">
        <v>0</v>
      </c>
      <c r="U134" s="461">
        <v>0</v>
      </c>
      <c r="V134" s="462">
        <v>0</v>
      </c>
    </row>
    <row r="135" spans="1:22" x14ac:dyDescent="0.2">
      <c r="A135" s="465" t="s">
        <v>304</v>
      </c>
      <c r="B135" s="461">
        <v>0</v>
      </c>
      <c r="C135" s="462">
        <v>716026.63142055355</v>
      </c>
      <c r="D135" s="461">
        <v>0</v>
      </c>
      <c r="E135" s="462">
        <v>840118.522505161</v>
      </c>
      <c r="F135" s="461">
        <v>0</v>
      </c>
      <c r="G135" s="462">
        <v>860510.53796465346</v>
      </c>
      <c r="H135" s="461">
        <v>0</v>
      </c>
      <c r="I135" s="462">
        <v>877984.78</v>
      </c>
      <c r="J135" s="461">
        <v>0</v>
      </c>
      <c r="K135" s="462">
        <v>929439.07</v>
      </c>
      <c r="L135" s="435"/>
      <c r="M135" s="461">
        <f t="shared" si="52"/>
        <v>0</v>
      </c>
      <c r="N135" s="462">
        <f t="shared" si="53"/>
        <v>0</v>
      </c>
      <c r="O135" s="461">
        <f t="shared" si="54"/>
        <v>0</v>
      </c>
      <c r="P135" s="462">
        <f t="shared" si="55"/>
        <v>0</v>
      </c>
      <c r="R135" s="465" t="s">
        <v>304</v>
      </c>
      <c r="S135" s="461">
        <v>0</v>
      </c>
      <c r="T135" s="462">
        <v>877984.78</v>
      </c>
      <c r="U135" s="461">
        <v>0</v>
      </c>
      <c r="V135" s="462">
        <v>929439.07</v>
      </c>
    </row>
    <row r="136" spans="1:22" x14ac:dyDescent="0.2">
      <c r="A136" s="460" t="s">
        <v>305</v>
      </c>
      <c r="B136" s="461">
        <v>0</v>
      </c>
      <c r="C136" s="462">
        <v>0</v>
      </c>
      <c r="D136" s="461">
        <v>0</v>
      </c>
      <c r="E136" s="462">
        <v>0</v>
      </c>
      <c r="F136" s="461">
        <v>0</v>
      </c>
      <c r="G136" s="462">
        <v>0</v>
      </c>
      <c r="H136" s="461">
        <v>0</v>
      </c>
      <c r="I136" s="462">
        <v>0</v>
      </c>
      <c r="J136" s="461">
        <v>0</v>
      </c>
      <c r="K136" s="462">
        <v>0</v>
      </c>
      <c r="L136" s="435"/>
      <c r="M136" s="461">
        <f t="shared" si="52"/>
        <v>0</v>
      </c>
      <c r="N136" s="462">
        <f t="shared" si="53"/>
        <v>0</v>
      </c>
      <c r="O136" s="461">
        <f t="shared" si="54"/>
        <v>0</v>
      </c>
      <c r="P136" s="462">
        <f t="shared" si="55"/>
        <v>0</v>
      </c>
      <c r="R136" s="460" t="s">
        <v>305</v>
      </c>
      <c r="S136" s="461">
        <v>0</v>
      </c>
      <c r="T136" s="462">
        <v>0</v>
      </c>
      <c r="U136" s="461">
        <v>0</v>
      </c>
      <c r="V136" s="462">
        <v>0</v>
      </c>
    </row>
    <row r="137" spans="1:22" x14ac:dyDescent="0.2">
      <c r="A137" s="460" t="s">
        <v>306</v>
      </c>
      <c r="B137" s="461">
        <v>0</v>
      </c>
      <c r="C137" s="462">
        <v>0</v>
      </c>
      <c r="D137" s="461">
        <v>0</v>
      </c>
      <c r="E137" s="462">
        <v>0</v>
      </c>
      <c r="F137" s="461">
        <v>0</v>
      </c>
      <c r="G137" s="462">
        <v>0</v>
      </c>
      <c r="H137" s="461">
        <v>0</v>
      </c>
      <c r="I137" s="462">
        <v>0</v>
      </c>
      <c r="J137" s="461">
        <v>0</v>
      </c>
      <c r="K137" s="462">
        <v>0</v>
      </c>
      <c r="L137" s="435"/>
      <c r="M137" s="461">
        <f t="shared" si="52"/>
        <v>0</v>
      </c>
      <c r="N137" s="462">
        <f t="shared" si="53"/>
        <v>0</v>
      </c>
      <c r="O137" s="461">
        <f t="shared" si="54"/>
        <v>0</v>
      </c>
      <c r="P137" s="462">
        <f t="shared" si="55"/>
        <v>0</v>
      </c>
      <c r="R137" s="460" t="s">
        <v>306</v>
      </c>
      <c r="S137" s="461">
        <v>0</v>
      </c>
      <c r="T137" s="462">
        <v>0</v>
      </c>
      <c r="U137" s="461">
        <v>0</v>
      </c>
      <c r="V137" s="462">
        <v>0</v>
      </c>
    </row>
    <row r="138" spans="1:22" x14ac:dyDescent="0.2">
      <c r="A138" s="465" t="s">
        <v>307</v>
      </c>
      <c r="B138" s="461">
        <v>0</v>
      </c>
      <c r="C138" s="462">
        <v>0</v>
      </c>
      <c r="D138" s="461">
        <v>0</v>
      </c>
      <c r="E138" s="462">
        <v>0</v>
      </c>
      <c r="F138" s="461">
        <v>0</v>
      </c>
      <c r="G138" s="462">
        <v>0</v>
      </c>
      <c r="H138" s="461">
        <v>0</v>
      </c>
      <c r="I138" s="462">
        <v>0</v>
      </c>
      <c r="J138" s="461">
        <v>0</v>
      </c>
      <c r="K138" s="462">
        <v>0</v>
      </c>
      <c r="L138" s="435"/>
      <c r="M138" s="461">
        <f t="shared" si="52"/>
        <v>0</v>
      </c>
      <c r="N138" s="462">
        <f t="shared" si="53"/>
        <v>0</v>
      </c>
      <c r="O138" s="461">
        <f t="shared" si="54"/>
        <v>0</v>
      </c>
      <c r="P138" s="462">
        <f t="shared" si="55"/>
        <v>0</v>
      </c>
      <c r="R138" s="465" t="s">
        <v>307</v>
      </c>
      <c r="S138" s="461">
        <v>0</v>
      </c>
      <c r="T138" s="462">
        <v>0</v>
      </c>
      <c r="U138" s="461">
        <v>0</v>
      </c>
      <c r="V138" s="462">
        <v>0</v>
      </c>
    </row>
    <row r="139" spans="1:22" x14ac:dyDescent="0.2">
      <c r="A139" s="465" t="s">
        <v>308</v>
      </c>
      <c r="B139" s="461">
        <v>0</v>
      </c>
      <c r="C139" s="462">
        <v>0</v>
      </c>
      <c r="D139" s="461">
        <v>0</v>
      </c>
      <c r="E139" s="462">
        <v>0</v>
      </c>
      <c r="F139" s="461">
        <v>0</v>
      </c>
      <c r="G139" s="462">
        <v>0</v>
      </c>
      <c r="H139" s="461">
        <v>0</v>
      </c>
      <c r="I139" s="462">
        <v>0</v>
      </c>
      <c r="J139" s="461">
        <v>0</v>
      </c>
      <c r="K139" s="462">
        <v>0</v>
      </c>
      <c r="L139" s="435"/>
      <c r="M139" s="461">
        <f t="shared" si="52"/>
        <v>0</v>
      </c>
      <c r="N139" s="462">
        <f t="shared" si="53"/>
        <v>0</v>
      </c>
      <c r="O139" s="461">
        <f t="shared" si="54"/>
        <v>0</v>
      </c>
      <c r="P139" s="462">
        <f t="shared" si="55"/>
        <v>0</v>
      </c>
      <c r="R139" s="465" t="s">
        <v>308</v>
      </c>
      <c r="S139" s="461">
        <v>0</v>
      </c>
      <c r="T139" s="462">
        <v>0</v>
      </c>
      <c r="U139" s="461">
        <v>0</v>
      </c>
      <c r="V139" s="462">
        <v>0</v>
      </c>
    </row>
    <row r="140" spans="1:22" x14ac:dyDescent="0.2">
      <c r="A140" s="465" t="s">
        <v>309</v>
      </c>
      <c r="B140" s="461">
        <v>0</v>
      </c>
      <c r="C140" s="462">
        <v>0</v>
      </c>
      <c r="D140" s="461">
        <v>0</v>
      </c>
      <c r="E140" s="462">
        <v>0</v>
      </c>
      <c r="F140" s="461">
        <v>0</v>
      </c>
      <c r="G140" s="462">
        <v>0</v>
      </c>
      <c r="H140" s="461">
        <v>0</v>
      </c>
      <c r="I140" s="462">
        <v>0</v>
      </c>
      <c r="J140" s="461">
        <v>0</v>
      </c>
      <c r="K140" s="462">
        <v>0</v>
      </c>
      <c r="L140" s="435"/>
      <c r="M140" s="461">
        <f t="shared" si="52"/>
        <v>0</v>
      </c>
      <c r="N140" s="462">
        <f t="shared" si="53"/>
        <v>0</v>
      </c>
      <c r="O140" s="461">
        <f t="shared" si="54"/>
        <v>0</v>
      </c>
      <c r="P140" s="462">
        <f t="shared" si="55"/>
        <v>0</v>
      </c>
      <c r="R140" s="465" t="s">
        <v>309</v>
      </c>
      <c r="S140" s="461">
        <v>0</v>
      </c>
      <c r="T140" s="462">
        <v>0</v>
      </c>
      <c r="U140" s="461">
        <v>0</v>
      </c>
      <c r="V140" s="462">
        <v>0</v>
      </c>
    </row>
    <row r="141" spans="1:22" x14ac:dyDescent="0.2">
      <c r="A141" s="466" t="s">
        <v>310</v>
      </c>
      <c r="B141" s="461">
        <v>0</v>
      </c>
      <c r="C141" s="462">
        <v>75657.166823290696</v>
      </c>
      <c r="D141" s="461">
        <v>0</v>
      </c>
      <c r="E141" s="462">
        <v>97406.550106780094</v>
      </c>
      <c r="F141" s="461">
        <v>0</v>
      </c>
      <c r="G141" s="462">
        <v>110011.87698941246</v>
      </c>
      <c r="H141" s="461">
        <v>0</v>
      </c>
      <c r="I141" s="492">
        <v>111468.82000000004</v>
      </c>
      <c r="J141" s="461">
        <v>0</v>
      </c>
      <c r="K141" s="492">
        <v>115268.77</v>
      </c>
      <c r="L141" s="435"/>
      <c r="M141" s="461">
        <f t="shared" si="52"/>
        <v>0</v>
      </c>
      <c r="N141" s="492">
        <f t="shared" si="53"/>
        <v>0</v>
      </c>
      <c r="O141" s="461">
        <f t="shared" si="54"/>
        <v>0</v>
      </c>
      <c r="P141" s="492">
        <f t="shared" si="55"/>
        <v>0</v>
      </c>
      <c r="R141" s="466" t="s">
        <v>310</v>
      </c>
      <c r="S141" s="461">
        <v>0</v>
      </c>
      <c r="T141" s="492">
        <v>111468.82000000004</v>
      </c>
      <c r="U141" s="461">
        <v>0</v>
      </c>
      <c r="V141" s="492">
        <v>115268.77</v>
      </c>
    </row>
    <row r="142" spans="1:22" ht="3" customHeight="1" x14ac:dyDescent="0.2">
      <c r="A142" s="469"/>
      <c r="B142" s="470"/>
      <c r="C142" s="471"/>
      <c r="D142" s="470"/>
      <c r="E142" s="471"/>
      <c r="F142" s="470"/>
      <c r="G142" s="471"/>
      <c r="H142" s="470"/>
      <c r="I142" s="471"/>
      <c r="J142" s="470"/>
      <c r="K142" s="471"/>
      <c r="L142" s="435"/>
      <c r="M142" s="470"/>
      <c r="N142" s="471"/>
      <c r="O142" s="470"/>
      <c r="P142" s="471"/>
      <c r="R142" s="469"/>
      <c r="S142" s="470"/>
      <c r="T142" s="471"/>
      <c r="U142" s="470"/>
      <c r="V142" s="471"/>
    </row>
    <row r="143" spans="1:22" ht="12" thickBot="1" x14ac:dyDescent="0.25">
      <c r="A143" s="472" t="s">
        <v>205</v>
      </c>
      <c r="B143" s="473">
        <f t="shared" ref="B143:G143" si="56">SUM(B132:B142)</f>
        <v>0</v>
      </c>
      <c r="C143" s="474">
        <f t="shared" si="56"/>
        <v>791683.79824384418</v>
      </c>
      <c r="D143" s="473">
        <f t="shared" si="56"/>
        <v>0</v>
      </c>
      <c r="E143" s="474">
        <f t="shared" si="56"/>
        <v>937525.07261194114</v>
      </c>
      <c r="F143" s="473">
        <f t="shared" si="56"/>
        <v>0</v>
      </c>
      <c r="G143" s="474">
        <f t="shared" si="56"/>
        <v>970522.41495406593</v>
      </c>
      <c r="H143" s="473">
        <v>0</v>
      </c>
      <c r="I143" s="474">
        <v>989453.60000000009</v>
      </c>
      <c r="J143" s="473">
        <v>0</v>
      </c>
      <c r="K143" s="474">
        <v>1044707.84</v>
      </c>
      <c r="L143" s="435"/>
      <c r="M143" s="473">
        <f>IFERROR(H143-S143,"")</f>
        <v>0</v>
      </c>
      <c r="N143" s="474">
        <f>IFERROR(I143-T143,"")</f>
        <v>0</v>
      </c>
      <c r="O143" s="473">
        <f>IFERROR(J143-U143,"")</f>
        <v>0</v>
      </c>
      <c r="P143" s="474">
        <f>IFERROR(K143-V143,"")</f>
        <v>0</v>
      </c>
      <c r="R143" s="472" t="s">
        <v>205</v>
      </c>
      <c r="S143" s="473">
        <v>0</v>
      </c>
      <c r="T143" s="474">
        <v>989453.60000000009</v>
      </c>
      <c r="U143" s="473">
        <v>0</v>
      </c>
      <c r="V143" s="474">
        <v>1044707.84</v>
      </c>
    </row>
    <row r="144" spans="1:22" ht="12" thickTop="1" x14ac:dyDescent="0.2">
      <c r="A144" s="475"/>
      <c r="B144" s="477"/>
      <c r="C144" s="476"/>
      <c r="D144" s="477"/>
      <c r="E144" s="476"/>
      <c r="F144" s="477"/>
      <c r="G144" s="476"/>
      <c r="H144" s="477"/>
      <c r="I144" s="476"/>
      <c r="J144" s="477"/>
      <c r="K144" s="476"/>
      <c r="L144" s="435"/>
      <c r="M144" s="477"/>
      <c r="N144" s="476"/>
      <c r="O144" s="477"/>
      <c r="P144" s="476"/>
      <c r="R144" s="475"/>
      <c r="S144" s="477"/>
      <c r="T144" s="476"/>
      <c r="U144" s="477"/>
      <c r="V144" s="476"/>
    </row>
    <row r="145" spans="1:22" x14ac:dyDescent="0.2">
      <c r="A145" s="476"/>
      <c r="B145" s="477"/>
      <c r="C145" s="476"/>
      <c r="D145" s="477"/>
      <c r="E145" s="476"/>
      <c r="F145" s="477"/>
      <c r="G145" s="476"/>
      <c r="H145" s="477"/>
      <c r="I145" s="476"/>
      <c r="J145" s="477"/>
      <c r="K145" s="476"/>
      <c r="L145" s="435"/>
      <c r="M145" s="477"/>
      <c r="N145" s="476"/>
      <c r="O145" s="477"/>
      <c r="P145" s="476"/>
      <c r="R145" s="476"/>
      <c r="S145" s="477"/>
      <c r="T145" s="476"/>
      <c r="U145" s="477"/>
      <c r="V145" s="476"/>
    </row>
    <row r="146" spans="1:22" x14ac:dyDescent="0.2">
      <c r="A146" s="480" t="s">
        <v>314</v>
      </c>
      <c r="B146" s="482"/>
      <c r="C146" s="481"/>
      <c r="D146" s="482"/>
      <c r="E146" s="481"/>
      <c r="F146" s="482"/>
      <c r="G146" s="481"/>
      <c r="H146" s="482"/>
      <c r="I146" s="481"/>
      <c r="J146" s="482"/>
      <c r="K146" s="481"/>
      <c r="L146" s="435"/>
      <c r="M146" s="482"/>
      <c r="N146" s="481"/>
      <c r="O146" s="482"/>
      <c r="P146" s="481"/>
      <c r="R146" s="480" t="s">
        <v>314</v>
      </c>
      <c r="S146" s="482"/>
      <c r="T146" s="481"/>
      <c r="U146" s="482"/>
      <c r="V146" s="481"/>
    </row>
    <row r="147" spans="1:22" x14ac:dyDescent="0.2">
      <c r="A147" s="455" t="s">
        <v>301</v>
      </c>
      <c r="B147" s="456">
        <v>0</v>
      </c>
      <c r="C147" s="457">
        <v>0</v>
      </c>
      <c r="D147" s="456">
        <v>0</v>
      </c>
      <c r="E147" s="457">
        <v>0</v>
      </c>
      <c r="F147" s="456">
        <v>0</v>
      </c>
      <c r="G147" s="457">
        <v>0</v>
      </c>
      <c r="H147" s="456">
        <v>0</v>
      </c>
      <c r="I147" s="457">
        <v>0</v>
      </c>
      <c r="J147" s="456">
        <v>0</v>
      </c>
      <c r="K147" s="457">
        <v>0</v>
      </c>
      <c r="L147" s="435"/>
      <c r="M147" s="456">
        <f t="shared" ref="M147:M156" si="57">IFERROR(H147-S147,"")</f>
        <v>0</v>
      </c>
      <c r="N147" s="457">
        <f t="shared" ref="N147:N156" si="58">IFERROR(I147-T147,"")</f>
        <v>0</v>
      </c>
      <c r="O147" s="456">
        <f t="shared" ref="O147:O156" si="59">IFERROR(J147-U147,"")</f>
        <v>0</v>
      </c>
      <c r="P147" s="457">
        <f t="shared" ref="P147:P156" si="60">IFERROR(K147-V147,"")</f>
        <v>0</v>
      </c>
      <c r="R147" s="455" t="s">
        <v>301</v>
      </c>
      <c r="S147" s="456">
        <v>0</v>
      </c>
      <c r="T147" s="457">
        <v>0</v>
      </c>
      <c r="U147" s="456">
        <v>0</v>
      </c>
      <c r="V147" s="457">
        <v>0</v>
      </c>
    </row>
    <row r="148" spans="1:22" x14ac:dyDescent="0.2">
      <c r="A148" s="460" t="s">
        <v>302</v>
      </c>
      <c r="B148" s="461">
        <v>0</v>
      </c>
      <c r="C148" s="462">
        <v>0</v>
      </c>
      <c r="D148" s="461">
        <v>0</v>
      </c>
      <c r="E148" s="462">
        <v>0</v>
      </c>
      <c r="F148" s="461">
        <v>0</v>
      </c>
      <c r="G148" s="462">
        <v>0</v>
      </c>
      <c r="H148" s="461">
        <v>0</v>
      </c>
      <c r="I148" s="462">
        <v>0</v>
      </c>
      <c r="J148" s="461">
        <v>0</v>
      </c>
      <c r="K148" s="462">
        <v>0</v>
      </c>
      <c r="L148" s="435"/>
      <c r="M148" s="461">
        <f t="shared" si="57"/>
        <v>0</v>
      </c>
      <c r="N148" s="462">
        <f t="shared" si="58"/>
        <v>0</v>
      </c>
      <c r="O148" s="461">
        <f t="shared" si="59"/>
        <v>0</v>
      </c>
      <c r="P148" s="462">
        <f t="shared" si="60"/>
        <v>0</v>
      </c>
      <c r="R148" s="460" t="s">
        <v>302</v>
      </c>
      <c r="S148" s="461">
        <v>0</v>
      </c>
      <c r="T148" s="462">
        <v>0</v>
      </c>
      <c r="U148" s="461">
        <v>0</v>
      </c>
      <c r="V148" s="462">
        <v>0</v>
      </c>
    </row>
    <row r="149" spans="1:22" x14ac:dyDescent="0.2">
      <c r="A149" s="465" t="s">
        <v>303</v>
      </c>
      <c r="B149" s="461">
        <v>0</v>
      </c>
      <c r="C149" s="462">
        <v>0</v>
      </c>
      <c r="D149" s="461">
        <v>0</v>
      </c>
      <c r="E149" s="462">
        <v>0</v>
      </c>
      <c r="F149" s="461">
        <v>0</v>
      </c>
      <c r="G149" s="462">
        <v>0</v>
      </c>
      <c r="H149" s="461">
        <v>0</v>
      </c>
      <c r="I149" s="462">
        <v>0</v>
      </c>
      <c r="J149" s="461">
        <v>0</v>
      </c>
      <c r="K149" s="462">
        <v>0</v>
      </c>
      <c r="L149" s="435"/>
      <c r="M149" s="461">
        <f t="shared" si="57"/>
        <v>0</v>
      </c>
      <c r="N149" s="462">
        <f t="shared" si="58"/>
        <v>0</v>
      </c>
      <c r="O149" s="461">
        <f t="shared" si="59"/>
        <v>0</v>
      </c>
      <c r="P149" s="462">
        <f t="shared" si="60"/>
        <v>0</v>
      </c>
      <c r="R149" s="465" t="s">
        <v>303</v>
      </c>
      <c r="S149" s="461">
        <v>0</v>
      </c>
      <c r="T149" s="462">
        <v>0</v>
      </c>
      <c r="U149" s="461">
        <v>0</v>
      </c>
      <c r="V149" s="462">
        <v>0</v>
      </c>
    </row>
    <row r="150" spans="1:22" x14ac:dyDescent="0.2">
      <c r="A150" s="465" t="s">
        <v>304</v>
      </c>
      <c r="B150" s="461">
        <v>0</v>
      </c>
      <c r="C150" s="462">
        <v>1249886.8980884238</v>
      </c>
      <c r="D150" s="461">
        <v>0</v>
      </c>
      <c r="E150" s="462">
        <v>1646161.7146217327</v>
      </c>
      <c r="F150" s="461">
        <v>0</v>
      </c>
      <c r="G150" s="462">
        <v>1851462.9464426786</v>
      </c>
      <c r="H150" s="461">
        <v>0</v>
      </c>
      <c r="I150" s="462">
        <v>2212734.4499999997</v>
      </c>
      <c r="J150" s="461">
        <v>0</v>
      </c>
      <c r="K150" s="462">
        <v>2330099.1</v>
      </c>
      <c r="L150" s="435"/>
      <c r="M150" s="461">
        <f t="shared" si="57"/>
        <v>0</v>
      </c>
      <c r="N150" s="462">
        <f t="shared" si="58"/>
        <v>0</v>
      </c>
      <c r="O150" s="461">
        <f t="shared" si="59"/>
        <v>0</v>
      </c>
      <c r="P150" s="462">
        <f t="shared" si="60"/>
        <v>0</v>
      </c>
      <c r="R150" s="465" t="s">
        <v>304</v>
      </c>
      <c r="S150" s="461">
        <v>0</v>
      </c>
      <c r="T150" s="462">
        <v>2212734.4499999997</v>
      </c>
      <c r="U150" s="461">
        <v>0</v>
      </c>
      <c r="V150" s="462">
        <v>2330099.1</v>
      </c>
    </row>
    <row r="151" spans="1:22" x14ac:dyDescent="0.2">
      <c r="A151" s="460" t="s">
        <v>305</v>
      </c>
      <c r="B151" s="461">
        <v>0</v>
      </c>
      <c r="C151" s="462">
        <v>0</v>
      </c>
      <c r="D151" s="461">
        <v>0</v>
      </c>
      <c r="E151" s="462">
        <v>0</v>
      </c>
      <c r="F151" s="461">
        <v>0</v>
      </c>
      <c r="G151" s="462">
        <v>0</v>
      </c>
      <c r="H151" s="461">
        <v>0</v>
      </c>
      <c r="I151" s="462">
        <v>0</v>
      </c>
      <c r="J151" s="461">
        <v>0</v>
      </c>
      <c r="K151" s="462">
        <v>0</v>
      </c>
      <c r="L151" s="435"/>
      <c r="M151" s="461">
        <f t="shared" si="57"/>
        <v>0</v>
      </c>
      <c r="N151" s="462">
        <f t="shared" si="58"/>
        <v>0</v>
      </c>
      <c r="O151" s="461">
        <f t="shared" si="59"/>
        <v>0</v>
      </c>
      <c r="P151" s="462">
        <f t="shared" si="60"/>
        <v>0</v>
      </c>
      <c r="R151" s="460" t="s">
        <v>305</v>
      </c>
      <c r="S151" s="461">
        <v>0</v>
      </c>
      <c r="T151" s="462">
        <v>0</v>
      </c>
      <c r="U151" s="461">
        <v>0</v>
      </c>
      <c r="V151" s="462">
        <v>0</v>
      </c>
    </row>
    <row r="152" spans="1:22" x14ac:dyDescent="0.2">
      <c r="A152" s="460" t="s">
        <v>306</v>
      </c>
      <c r="B152" s="461">
        <v>0</v>
      </c>
      <c r="C152" s="462">
        <v>0</v>
      </c>
      <c r="D152" s="461">
        <v>0</v>
      </c>
      <c r="E152" s="462">
        <v>0</v>
      </c>
      <c r="F152" s="461">
        <v>0</v>
      </c>
      <c r="G152" s="462">
        <v>0</v>
      </c>
      <c r="H152" s="461">
        <v>0</v>
      </c>
      <c r="I152" s="462">
        <v>0</v>
      </c>
      <c r="J152" s="461">
        <v>0</v>
      </c>
      <c r="K152" s="462">
        <v>0</v>
      </c>
      <c r="L152" s="435"/>
      <c r="M152" s="461">
        <f t="shared" si="57"/>
        <v>0</v>
      </c>
      <c r="N152" s="462">
        <f t="shared" si="58"/>
        <v>0</v>
      </c>
      <c r="O152" s="461">
        <f t="shared" si="59"/>
        <v>0</v>
      </c>
      <c r="P152" s="462">
        <f t="shared" si="60"/>
        <v>0</v>
      </c>
      <c r="R152" s="460" t="s">
        <v>306</v>
      </c>
      <c r="S152" s="461">
        <v>0</v>
      </c>
      <c r="T152" s="462">
        <v>0</v>
      </c>
      <c r="U152" s="461">
        <v>0</v>
      </c>
      <c r="V152" s="462">
        <v>0</v>
      </c>
    </row>
    <row r="153" spans="1:22" x14ac:dyDescent="0.2">
      <c r="A153" s="465" t="s">
        <v>307</v>
      </c>
      <c r="B153" s="461">
        <v>0</v>
      </c>
      <c r="C153" s="462">
        <v>0</v>
      </c>
      <c r="D153" s="461">
        <v>0</v>
      </c>
      <c r="E153" s="462">
        <v>0</v>
      </c>
      <c r="F153" s="461">
        <v>0</v>
      </c>
      <c r="G153" s="462">
        <v>0</v>
      </c>
      <c r="H153" s="461">
        <v>0</v>
      </c>
      <c r="I153" s="462">
        <v>0</v>
      </c>
      <c r="J153" s="461">
        <v>0</v>
      </c>
      <c r="K153" s="462">
        <v>0</v>
      </c>
      <c r="L153" s="435"/>
      <c r="M153" s="461">
        <f t="shared" si="57"/>
        <v>0</v>
      </c>
      <c r="N153" s="462">
        <f t="shared" si="58"/>
        <v>0</v>
      </c>
      <c r="O153" s="461">
        <f t="shared" si="59"/>
        <v>0</v>
      </c>
      <c r="P153" s="462">
        <f t="shared" si="60"/>
        <v>0</v>
      </c>
      <c r="R153" s="465" t="s">
        <v>307</v>
      </c>
      <c r="S153" s="461">
        <v>0</v>
      </c>
      <c r="T153" s="462">
        <v>0</v>
      </c>
      <c r="U153" s="461">
        <v>0</v>
      </c>
      <c r="V153" s="462">
        <v>0</v>
      </c>
    </row>
    <row r="154" spans="1:22" x14ac:dyDescent="0.2">
      <c r="A154" s="465" t="s">
        <v>308</v>
      </c>
      <c r="B154" s="461">
        <v>0</v>
      </c>
      <c r="C154" s="462">
        <v>0</v>
      </c>
      <c r="D154" s="461">
        <v>0</v>
      </c>
      <c r="E154" s="462">
        <v>0</v>
      </c>
      <c r="F154" s="461">
        <v>0</v>
      </c>
      <c r="G154" s="462">
        <v>0</v>
      </c>
      <c r="H154" s="461">
        <v>0</v>
      </c>
      <c r="I154" s="462">
        <v>0</v>
      </c>
      <c r="J154" s="461">
        <v>0</v>
      </c>
      <c r="K154" s="462">
        <v>0</v>
      </c>
      <c r="L154" s="435"/>
      <c r="M154" s="461">
        <f t="shared" si="57"/>
        <v>0</v>
      </c>
      <c r="N154" s="462">
        <f t="shared" si="58"/>
        <v>0</v>
      </c>
      <c r="O154" s="461">
        <f t="shared" si="59"/>
        <v>0</v>
      </c>
      <c r="P154" s="462">
        <f t="shared" si="60"/>
        <v>0</v>
      </c>
      <c r="R154" s="465" t="s">
        <v>308</v>
      </c>
      <c r="S154" s="461">
        <v>0</v>
      </c>
      <c r="T154" s="462">
        <v>0</v>
      </c>
      <c r="U154" s="461">
        <v>0</v>
      </c>
      <c r="V154" s="462">
        <v>0</v>
      </c>
    </row>
    <row r="155" spans="1:22" x14ac:dyDescent="0.2">
      <c r="A155" s="465" t="s">
        <v>309</v>
      </c>
      <c r="B155" s="461">
        <v>0</v>
      </c>
      <c r="C155" s="462">
        <v>0</v>
      </c>
      <c r="D155" s="461">
        <v>0</v>
      </c>
      <c r="E155" s="462">
        <v>0</v>
      </c>
      <c r="F155" s="461">
        <v>0</v>
      </c>
      <c r="G155" s="462">
        <v>0</v>
      </c>
      <c r="H155" s="461">
        <v>0</v>
      </c>
      <c r="I155" s="462">
        <v>0</v>
      </c>
      <c r="J155" s="461">
        <v>0</v>
      </c>
      <c r="K155" s="462">
        <v>0</v>
      </c>
      <c r="L155" s="435"/>
      <c r="M155" s="461">
        <f t="shared" si="57"/>
        <v>0</v>
      </c>
      <c r="N155" s="462">
        <f t="shared" si="58"/>
        <v>0</v>
      </c>
      <c r="O155" s="461">
        <f t="shared" si="59"/>
        <v>0</v>
      </c>
      <c r="P155" s="462">
        <f t="shared" si="60"/>
        <v>0</v>
      </c>
      <c r="R155" s="465" t="s">
        <v>309</v>
      </c>
      <c r="S155" s="461">
        <v>0</v>
      </c>
      <c r="T155" s="462">
        <v>0</v>
      </c>
      <c r="U155" s="461">
        <v>0</v>
      </c>
      <c r="V155" s="462">
        <v>0</v>
      </c>
    </row>
    <row r="156" spans="1:22" x14ac:dyDescent="0.2">
      <c r="A156" s="466" t="s">
        <v>310</v>
      </c>
      <c r="B156" s="461">
        <v>0</v>
      </c>
      <c r="C156" s="462">
        <v>119685.744660211</v>
      </c>
      <c r="D156" s="461">
        <v>0</v>
      </c>
      <c r="E156" s="462">
        <v>142189.46026310176</v>
      </c>
      <c r="F156" s="461">
        <v>0</v>
      </c>
      <c r="G156" s="462">
        <v>172564.78500460292</v>
      </c>
      <c r="H156" s="461">
        <v>0</v>
      </c>
      <c r="I156" s="492">
        <v>206145.07</v>
      </c>
      <c r="J156" s="461">
        <v>0</v>
      </c>
      <c r="K156" s="492">
        <v>211887.89</v>
      </c>
      <c r="L156" s="435"/>
      <c r="M156" s="461">
        <f t="shared" si="57"/>
        <v>0</v>
      </c>
      <c r="N156" s="492">
        <f t="shared" si="58"/>
        <v>0</v>
      </c>
      <c r="O156" s="461">
        <f t="shared" si="59"/>
        <v>0</v>
      </c>
      <c r="P156" s="492">
        <f t="shared" si="60"/>
        <v>0</v>
      </c>
      <c r="R156" s="466" t="s">
        <v>310</v>
      </c>
      <c r="S156" s="461">
        <v>0</v>
      </c>
      <c r="T156" s="492">
        <v>206145.07</v>
      </c>
      <c r="U156" s="461">
        <v>0</v>
      </c>
      <c r="V156" s="492">
        <v>211887.89</v>
      </c>
    </row>
    <row r="157" spans="1:22" ht="3" customHeight="1" x14ac:dyDescent="0.2">
      <c r="A157" s="469"/>
      <c r="B157" s="470"/>
      <c r="C157" s="471"/>
      <c r="D157" s="470"/>
      <c r="E157" s="471"/>
      <c r="F157" s="470"/>
      <c r="G157" s="471"/>
      <c r="H157" s="470"/>
      <c r="I157" s="471"/>
      <c r="J157" s="470"/>
      <c r="K157" s="471"/>
      <c r="L157" s="435"/>
      <c r="M157" s="470"/>
      <c r="N157" s="471"/>
      <c r="O157" s="470"/>
      <c r="P157" s="471"/>
      <c r="R157" s="469"/>
      <c r="S157" s="470"/>
      <c r="T157" s="471"/>
      <c r="U157" s="470"/>
      <c r="V157" s="471"/>
    </row>
    <row r="158" spans="1:22" ht="12" thickBot="1" x14ac:dyDescent="0.25">
      <c r="A158" s="472" t="s">
        <v>205</v>
      </c>
      <c r="B158" s="473">
        <f t="shared" ref="B158:G158" si="61">SUM(B147:B157)</f>
        <v>0</v>
      </c>
      <c r="C158" s="474">
        <f t="shared" si="61"/>
        <v>1369572.6427486348</v>
      </c>
      <c r="D158" s="473">
        <f t="shared" si="61"/>
        <v>0</v>
      </c>
      <c r="E158" s="474">
        <f t="shared" si="61"/>
        <v>1788351.1748848346</v>
      </c>
      <c r="F158" s="473">
        <f t="shared" si="61"/>
        <v>0</v>
      </c>
      <c r="G158" s="474">
        <f t="shared" si="61"/>
        <v>2024027.7314472815</v>
      </c>
      <c r="H158" s="473">
        <v>0</v>
      </c>
      <c r="I158" s="474">
        <v>2418879.5199999996</v>
      </c>
      <c r="J158" s="473">
        <v>0</v>
      </c>
      <c r="K158" s="474">
        <v>2541986.9900000002</v>
      </c>
      <c r="L158" s="435"/>
      <c r="M158" s="473">
        <f>IFERROR(H158-S158,"")</f>
        <v>0</v>
      </c>
      <c r="N158" s="474">
        <f>IFERROR(I158-T158,"")</f>
        <v>0</v>
      </c>
      <c r="O158" s="473">
        <f>IFERROR(J158-U158,"")</f>
        <v>0</v>
      </c>
      <c r="P158" s="474">
        <f>IFERROR(K158-V158,"")</f>
        <v>0</v>
      </c>
      <c r="R158" s="472" t="s">
        <v>205</v>
      </c>
      <c r="S158" s="473">
        <v>0</v>
      </c>
      <c r="T158" s="474">
        <v>2418879.5199999996</v>
      </c>
      <c r="U158" s="473">
        <v>0</v>
      </c>
      <c r="V158" s="474">
        <v>2541986.9900000002</v>
      </c>
    </row>
    <row r="159" spans="1:22" ht="12" thickTop="1" x14ac:dyDescent="0.2">
      <c r="A159" s="475"/>
      <c r="B159" s="477"/>
      <c r="C159" s="476"/>
      <c r="D159" s="477"/>
      <c r="E159" s="476"/>
      <c r="F159" s="477"/>
      <c r="G159" s="476"/>
      <c r="H159" s="477"/>
      <c r="I159" s="476"/>
      <c r="J159" s="477"/>
      <c r="K159" s="476"/>
      <c r="L159" s="435"/>
      <c r="M159" s="477"/>
      <c r="N159" s="476"/>
      <c r="O159" s="477"/>
      <c r="P159" s="476"/>
      <c r="R159" s="475"/>
      <c r="S159" s="477"/>
      <c r="T159" s="476"/>
      <c r="U159" s="477"/>
      <c r="V159" s="476"/>
    </row>
    <row r="160" spans="1:22" ht="11.25" customHeight="1" x14ac:dyDescent="0.2">
      <c r="A160" s="476"/>
      <c r="B160" s="477"/>
      <c r="C160" s="476"/>
      <c r="D160" s="477"/>
      <c r="E160" s="476"/>
      <c r="F160" s="477"/>
      <c r="G160" s="476"/>
      <c r="H160" s="477"/>
      <c r="I160" s="476"/>
      <c r="J160" s="477"/>
      <c r="K160" s="476"/>
      <c r="L160" s="435"/>
      <c r="M160" s="477"/>
      <c r="N160" s="476"/>
      <c r="O160" s="477"/>
      <c r="P160" s="476"/>
      <c r="R160" s="476"/>
      <c r="S160" s="477"/>
      <c r="T160" s="476"/>
      <c r="U160" s="477"/>
      <c r="V160" s="476"/>
    </row>
    <row r="161" spans="1:22" ht="12.75" x14ac:dyDescent="0.2">
      <c r="A161" s="1551" t="s">
        <v>316</v>
      </c>
      <c r="B161" s="489"/>
      <c r="C161" s="488"/>
      <c r="D161" s="489"/>
      <c r="E161" s="488"/>
      <c r="F161" s="489"/>
      <c r="G161" s="488"/>
      <c r="H161" s="489"/>
      <c r="I161" s="488"/>
      <c r="J161" s="489"/>
      <c r="K161" s="488"/>
      <c r="L161" s="435" t="s">
        <v>143</v>
      </c>
      <c r="M161" s="489"/>
      <c r="N161" s="488"/>
      <c r="O161" s="489"/>
      <c r="P161" s="488"/>
      <c r="R161" s="1547" t="s">
        <v>180</v>
      </c>
      <c r="S161" s="489"/>
      <c r="T161" s="488"/>
      <c r="U161" s="489"/>
      <c r="V161" s="488"/>
    </row>
    <row r="162" spans="1:22" ht="11.25" customHeight="1" x14ac:dyDescent="0.2">
      <c r="A162" s="1548"/>
      <c r="B162" s="491"/>
      <c r="C162" s="490"/>
      <c r="D162" s="491"/>
      <c r="E162" s="490"/>
      <c r="F162" s="491"/>
      <c r="G162" s="490"/>
      <c r="H162" s="491"/>
      <c r="I162" s="490"/>
      <c r="J162" s="491"/>
      <c r="K162" s="490"/>
      <c r="L162" s="435"/>
      <c r="M162" s="491"/>
      <c r="N162" s="490"/>
      <c r="O162" s="491"/>
      <c r="P162" s="490"/>
      <c r="R162" s="1548"/>
      <c r="S162" s="491"/>
      <c r="T162" s="490"/>
      <c r="U162" s="491"/>
      <c r="V162" s="490"/>
    </row>
    <row r="163" spans="1:22" x14ac:dyDescent="0.2">
      <c r="A163" s="454" t="s">
        <v>300</v>
      </c>
      <c r="B163" s="487"/>
      <c r="C163" s="486"/>
      <c r="D163" s="487"/>
      <c r="E163" s="486"/>
      <c r="F163" s="487"/>
      <c r="G163" s="486"/>
      <c r="H163" s="487"/>
      <c r="I163" s="486"/>
      <c r="J163" s="487"/>
      <c r="K163" s="486"/>
      <c r="L163" s="435"/>
      <c r="M163" s="487"/>
      <c r="N163" s="486"/>
      <c r="O163" s="487"/>
      <c r="P163" s="486"/>
      <c r="R163" s="454" t="s">
        <v>300</v>
      </c>
      <c r="S163" s="487"/>
      <c r="T163" s="486"/>
      <c r="U163" s="487"/>
      <c r="V163" s="486"/>
    </row>
    <row r="164" spans="1:22" x14ac:dyDescent="0.2">
      <c r="A164" s="455" t="s">
        <v>301</v>
      </c>
      <c r="B164" s="456">
        <v>0</v>
      </c>
      <c r="C164" s="457">
        <f t="shared" ref="C164:C173" si="62">SUM(C179,C194,C209,C224)</f>
        <v>0</v>
      </c>
      <c r="D164" s="456">
        <v>0</v>
      </c>
      <c r="E164" s="457">
        <f t="shared" ref="E164:E173" si="63">SUM(E179,E194,E209,E224)</f>
        <v>0</v>
      </c>
      <c r="F164" s="456">
        <v>0</v>
      </c>
      <c r="G164" s="457">
        <f t="shared" ref="G164:G173" si="64">SUM(G179,G194,G209,G224)</f>
        <v>0</v>
      </c>
      <c r="H164" s="456">
        <v>0</v>
      </c>
      <c r="I164" s="457">
        <v>0</v>
      </c>
      <c r="J164" s="456">
        <v>0</v>
      </c>
      <c r="K164" s="457">
        <v>0</v>
      </c>
      <c r="L164" s="435"/>
      <c r="M164" s="456">
        <f t="shared" ref="M164:M173" si="65">IFERROR(H164-S164,"")</f>
        <v>0</v>
      </c>
      <c r="N164" s="457">
        <f t="shared" ref="N164:N173" si="66">IFERROR(I164-T164,"")</f>
        <v>0</v>
      </c>
      <c r="O164" s="456">
        <f t="shared" ref="O164:O173" si="67">IFERROR(J164-U164,"")</f>
        <v>0</v>
      </c>
      <c r="P164" s="457">
        <f t="shared" ref="P164:P173" si="68">IFERROR(K164-V164,"")</f>
        <v>0</v>
      </c>
      <c r="R164" s="455" t="s">
        <v>301</v>
      </c>
      <c r="S164" s="456">
        <v>0</v>
      </c>
      <c r="T164" s="457">
        <v>0</v>
      </c>
      <c r="U164" s="456">
        <v>0</v>
      </c>
      <c r="V164" s="457">
        <v>0</v>
      </c>
    </row>
    <row r="165" spans="1:22" x14ac:dyDescent="0.2">
      <c r="A165" s="460" t="s">
        <v>302</v>
      </c>
      <c r="B165" s="461">
        <v>0</v>
      </c>
      <c r="C165" s="462">
        <f t="shared" si="62"/>
        <v>0</v>
      </c>
      <c r="D165" s="461">
        <v>0</v>
      </c>
      <c r="E165" s="462">
        <f t="shared" si="63"/>
        <v>0</v>
      </c>
      <c r="F165" s="461">
        <v>0</v>
      </c>
      <c r="G165" s="462">
        <f t="shared" si="64"/>
        <v>0</v>
      </c>
      <c r="H165" s="461">
        <v>0</v>
      </c>
      <c r="I165" s="462">
        <v>0</v>
      </c>
      <c r="J165" s="461">
        <v>0</v>
      </c>
      <c r="K165" s="462">
        <v>0</v>
      </c>
      <c r="L165" s="435"/>
      <c r="M165" s="461">
        <f t="shared" si="65"/>
        <v>0</v>
      </c>
      <c r="N165" s="462">
        <f t="shared" si="66"/>
        <v>0</v>
      </c>
      <c r="O165" s="461">
        <f t="shared" si="67"/>
        <v>0</v>
      </c>
      <c r="P165" s="462">
        <f t="shared" si="68"/>
        <v>0</v>
      </c>
      <c r="R165" s="460" t="s">
        <v>302</v>
      </c>
      <c r="S165" s="461">
        <v>0</v>
      </c>
      <c r="T165" s="462">
        <v>0</v>
      </c>
      <c r="U165" s="461">
        <v>0</v>
      </c>
      <c r="V165" s="462">
        <v>0</v>
      </c>
    </row>
    <row r="166" spans="1:22" x14ac:dyDescent="0.2">
      <c r="A166" s="465" t="s">
        <v>303</v>
      </c>
      <c r="B166" s="461">
        <v>0</v>
      </c>
      <c r="C166" s="462">
        <f t="shared" si="62"/>
        <v>0</v>
      </c>
      <c r="D166" s="461">
        <v>0</v>
      </c>
      <c r="E166" s="462">
        <f t="shared" si="63"/>
        <v>0</v>
      </c>
      <c r="F166" s="461">
        <v>0</v>
      </c>
      <c r="G166" s="462">
        <f t="shared" si="64"/>
        <v>0</v>
      </c>
      <c r="H166" s="461">
        <v>0</v>
      </c>
      <c r="I166" s="462">
        <v>0</v>
      </c>
      <c r="J166" s="461">
        <v>0</v>
      </c>
      <c r="K166" s="462">
        <v>0</v>
      </c>
      <c r="L166" s="435"/>
      <c r="M166" s="461">
        <f t="shared" si="65"/>
        <v>0</v>
      </c>
      <c r="N166" s="462">
        <f t="shared" si="66"/>
        <v>0</v>
      </c>
      <c r="O166" s="461">
        <f t="shared" si="67"/>
        <v>0</v>
      </c>
      <c r="P166" s="462">
        <f t="shared" si="68"/>
        <v>0</v>
      </c>
      <c r="R166" s="465" t="s">
        <v>303</v>
      </c>
      <c r="S166" s="461">
        <v>0</v>
      </c>
      <c r="T166" s="462">
        <v>0</v>
      </c>
      <c r="U166" s="461">
        <v>0</v>
      </c>
      <c r="V166" s="462">
        <v>0</v>
      </c>
    </row>
    <row r="167" spans="1:22" x14ac:dyDescent="0.2">
      <c r="A167" s="465" t="s">
        <v>304</v>
      </c>
      <c r="B167" s="461">
        <v>6</v>
      </c>
      <c r="C167" s="462">
        <f t="shared" si="62"/>
        <v>892037.46880523907</v>
      </c>
      <c r="D167" s="461">
        <v>7</v>
      </c>
      <c r="E167" s="462">
        <f t="shared" si="63"/>
        <v>1022896.0889686756</v>
      </c>
      <c r="F167" s="461">
        <v>8</v>
      </c>
      <c r="G167" s="462">
        <f t="shared" si="64"/>
        <v>1180228.8744303705</v>
      </c>
      <c r="H167" s="461">
        <v>8</v>
      </c>
      <c r="I167" s="462">
        <v>1193192.3800000001</v>
      </c>
      <c r="J167" s="461">
        <v>8</v>
      </c>
      <c r="K167" s="462">
        <v>1237277.9300000002</v>
      </c>
      <c r="L167" s="435"/>
      <c r="M167" s="461">
        <f t="shared" si="65"/>
        <v>0</v>
      </c>
      <c r="N167" s="462">
        <f t="shared" si="66"/>
        <v>0</v>
      </c>
      <c r="O167" s="461">
        <f t="shared" si="67"/>
        <v>0</v>
      </c>
      <c r="P167" s="462">
        <f t="shared" si="68"/>
        <v>0</v>
      </c>
      <c r="R167" s="465" t="s">
        <v>304</v>
      </c>
      <c r="S167" s="461">
        <v>8</v>
      </c>
      <c r="T167" s="462">
        <v>1193192.3800000001</v>
      </c>
      <c r="U167" s="461">
        <v>8</v>
      </c>
      <c r="V167" s="462">
        <v>1237277.9300000002</v>
      </c>
    </row>
    <row r="168" spans="1:22" x14ac:dyDescent="0.2">
      <c r="A168" s="460" t="s">
        <v>305</v>
      </c>
      <c r="B168" s="461">
        <v>7</v>
      </c>
      <c r="C168" s="462">
        <f t="shared" si="62"/>
        <v>761313.98125427798</v>
      </c>
      <c r="D168" s="461">
        <v>7</v>
      </c>
      <c r="E168" s="462">
        <f t="shared" si="63"/>
        <v>818073.78699956357</v>
      </c>
      <c r="F168" s="461">
        <v>7.083333333333333</v>
      </c>
      <c r="G168" s="462">
        <f t="shared" si="64"/>
        <v>888972.76825598651</v>
      </c>
      <c r="H168" s="461">
        <v>8</v>
      </c>
      <c r="I168" s="462">
        <v>1118176.1300000001</v>
      </c>
      <c r="J168" s="461">
        <v>8</v>
      </c>
      <c r="K168" s="462">
        <v>1145395.79</v>
      </c>
      <c r="L168" s="435"/>
      <c r="M168" s="461">
        <f t="shared" si="65"/>
        <v>0</v>
      </c>
      <c r="N168" s="462">
        <f t="shared" si="66"/>
        <v>0</v>
      </c>
      <c r="O168" s="461">
        <f t="shared" si="67"/>
        <v>0</v>
      </c>
      <c r="P168" s="462">
        <f t="shared" si="68"/>
        <v>0</v>
      </c>
      <c r="R168" s="460" t="s">
        <v>305</v>
      </c>
      <c r="S168" s="461">
        <v>8</v>
      </c>
      <c r="T168" s="462">
        <v>1118176.1300000001</v>
      </c>
      <c r="U168" s="461">
        <v>8</v>
      </c>
      <c r="V168" s="462">
        <v>1145395.79</v>
      </c>
    </row>
    <row r="169" spans="1:22" x14ac:dyDescent="0.2">
      <c r="A169" s="460" t="s">
        <v>306</v>
      </c>
      <c r="B169" s="461">
        <v>0</v>
      </c>
      <c r="C169" s="462">
        <f t="shared" si="62"/>
        <v>0</v>
      </c>
      <c r="D169" s="461">
        <v>0</v>
      </c>
      <c r="E169" s="462">
        <f t="shared" si="63"/>
        <v>0</v>
      </c>
      <c r="F169" s="461">
        <v>0</v>
      </c>
      <c r="G169" s="462">
        <f t="shared" si="64"/>
        <v>0</v>
      </c>
      <c r="H169" s="461">
        <v>1</v>
      </c>
      <c r="I169" s="462">
        <v>130671.70000000001</v>
      </c>
      <c r="J169" s="461">
        <v>1</v>
      </c>
      <c r="K169" s="462">
        <v>147524.01</v>
      </c>
      <c r="L169" s="435"/>
      <c r="M169" s="461">
        <f t="shared" si="65"/>
        <v>0</v>
      </c>
      <c r="N169" s="462">
        <f t="shared" si="66"/>
        <v>0</v>
      </c>
      <c r="O169" s="461">
        <f t="shared" si="67"/>
        <v>0</v>
      </c>
      <c r="P169" s="462">
        <f t="shared" si="68"/>
        <v>0</v>
      </c>
      <c r="R169" s="460" t="s">
        <v>306</v>
      </c>
      <c r="S169" s="461">
        <v>1</v>
      </c>
      <c r="T169" s="462">
        <v>130671.70000000001</v>
      </c>
      <c r="U169" s="461">
        <v>1</v>
      </c>
      <c r="V169" s="462">
        <v>147524.01</v>
      </c>
    </row>
    <row r="170" spans="1:22" x14ac:dyDescent="0.2">
      <c r="A170" s="465" t="s">
        <v>307</v>
      </c>
      <c r="B170" s="461">
        <v>70.333333333333329</v>
      </c>
      <c r="C170" s="462">
        <f t="shared" si="62"/>
        <v>4377286.646837635</v>
      </c>
      <c r="D170" s="461">
        <v>68.166666666666671</v>
      </c>
      <c r="E170" s="462">
        <f t="shared" si="63"/>
        <v>4760937.89673662</v>
      </c>
      <c r="F170" s="461">
        <v>66.5</v>
      </c>
      <c r="G170" s="462">
        <f t="shared" si="64"/>
        <v>4952581.9849373931</v>
      </c>
      <c r="H170" s="461">
        <v>62</v>
      </c>
      <c r="I170" s="462">
        <v>4879172.3400000008</v>
      </c>
      <c r="J170" s="461">
        <v>62</v>
      </c>
      <c r="K170" s="462">
        <v>5229794.0600000005</v>
      </c>
      <c r="L170" s="435"/>
      <c r="M170" s="461">
        <f t="shared" si="65"/>
        <v>0</v>
      </c>
      <c r="N170" s="462">
        <f t="shared" si="66"/>
        <v>0</v>
      </c>
      <c r="O170" s="461">
        <f t="shared" si="67"/>
        <v>0</v>
      </c>
      <c r="P170" s="462">
        <f t="shared" si="68"/>
        <v>0</v>
      </c>
      <c r="R170" s="465" t="s">
        <v>307</v>
      </c>
      <c r="S170" s="461">
        <v>62</v>
      </c>
      <c r="T170" s="462">
        <v>4879172.3400000008</v>
      </c>
      <c r="U170" s="461">
        <v>62</v>
      </c>
      <c r="V170" s="462">
        <v>5229794.0600000005</v>
      </c>
    </row>
    <row r="171" spans="1:22" x14ac:dyDescent="0.2">
      <c r="A171" s="465" t="s">
        <v>308</v>
      </c>
      <c r="B171" s="461">
        <v>3</v>
      </c>
      <c r="C171" s="462">
        <f t="shared" si="62"/>
        <v>0</v>
      </c>
      <c r="D171" s="461">
        <v>3</v>
      </c>
      <c r="E171" s="462">
        <f t="shared" si="63"/>
        <v>0</v>
      </c>
      <c r="F171" s="461">
        <v>3</v>
      </c>
      <c r="G171" s="462">
        <f t="shared" si="64"/>
        <v>0</v>
      </c>
      <c r="H171" s="461">
        <v>0</v>
      </c>
      <c r="I171" s="462">
        <v>0</v>
      </c>
      <c r="J171" s="461">
        <v>0</v>
      </c>
      <c r="K171" s="462">
        <v>0</v>
      </c>
      <c r="L171" s="435"/>
      <c r="M171" s="461">
        <f t="shared" si="65"/>
        <v>0</v>
      </c>
      <c r="N171" s="462">
        <f t="shared" si="66"/>
        <v>0</v>
      </c>
      <c r="O171" s="461">
        <f t="shared" si="67"/>
        <v>0</v>
      </c>
      <c r="P171" s="462">
        <f t="shared" si="68"/>
        <v>0</v>
      </c>
      <c r="R171" s="465" t="s">
        <v>308</v>
      </c>
      <c r="S171" s="461">
        <v>0</v>
      </c>
      <c r="T171" s="462">
        <v>0</v>
      </c>
      <c r="U171" s="461">
        <v>0</v>
      </c>
      <c r="V171" s="462">
        <v>0</v>
      </c>
    </row>
    <row r="172" spans="1:22" x14ac:dyDescent="0.2">
      <c r="A172" s="465" t="s">
        <v>309</v>
      </c>
      <c r="B172" s="461">
        <v>0</v>
      </c>
      <c r="C172" s="462">
        <f t="shared" si="62"/>
        <v>0</v>
      </c>
      <c r="D172" s="461">
        <v>0</v>
      </c>
      <c r="E172" s="462">
        <f t="shared" si="63"/>
        <v>0</v>
      </c>
      <c r="F172" s="461">
        <v>0</v>
      </c>
      <c r="G172" s="462">
        <f t="shared" si="64"/>
        <v>0</v>
      </c>
      <c r="H172" s="461">
        <v>0</v>
      </c>
      <c r="I172" s="462">
        <v>0</v>
      </c>
      <c r="J172" s="461">
        <v>0</v>
      </c>
      <c r="K172" s="462">
        <v>0</v>
      </c>
      <c r="L172" s="435"/>
      <c r="M172" s="461">
        <f t="shared" si="65"/>
        <v>0</v>
      </c>
      <c r="N172" s="462">
        <f t="shared" si="66"/>
        <v>0</v>
      </c>
      <c r="O172" s="461">
        <f t="shared" si="67"/>
        <v>0</v>
      </c>
      <c r="P172" s="462">
        <f t="shared" si="68"/>
        <v>0</v>
      </c>
      <c r="R172" s="465" t="s">
        <v>309</v>
      </c>
      <c r="S172" s="461">
        <v>0</v>
      </c>
      <c r="T172" s="462">
        <v>0</v>
      </c>
      <c r="U172" s="461">
        <v>0</v>
      </c>
      <c r="V172" s="462">
        <v>0</v>
      </c>
    </row>
    <row r="173" spans="1:22" x14ac:dyDescent="0.2">
      <c r="A173" s="466" t="s">
        <v>310</v>
      </c>
      <c r="B173" s="461">
        <v>0</v>
      </c>
      <c r="C173" s="462">
        <f t="shared" si="62"/>
        <v>24132.516787627268</v>
      </c>
      <c r="D173" s="461">
        <v>0</v>
      </c>
      <c r="E173" s="462">
        <f t="shared" si="63"/>
        <v>29694.619452029816</v>
      </c>
      <c r="F173" s="461">
        <v>0</v>
      </c>
      <c r="G173" s="462">
        <f t="shared" si="64"/>
        <v>52559.771003827846</v>
      </c>
      <c r="H173" s="461">
        <v>0</v>
      </c>
      <c r="I173" s="492">
        <v>62036.210000000014</v>
      </c>
      <c r="J173" s="461">
        <v>0</v>
      </c>
      <c r="K173" s="492">
        <v>69481.400000000009</v>
      </c>
      <c r="L173" s="435"/>
      <c r="M173" s="461">
        <f t="shared" si="65"/>
        <v>0</v>
      </c>
      <c r="N173" s="492">
        <f t="shared" si="66"/>
        <v>0</v>
      </c>
      <c r="O173" s="461">
        <f t="shared" si="67"/>
        <v>0</v>
      </c>
      <c r="P173" s="492">
        <f t="shared" si="68"/>
        <v>0</v>
      </c>
      <c r="R173" s="466" t="s">
        <v>310</v>
      </c>
      <c r="S173" s="461">
        <v>0</v>
      </c>
      <c r="T173" s="492">
        <v>62036.210000000014</v>
      </c>
      <c r="U173" s="461">
        <v>0</v>
      </c>
      <c r="V173" s="492">
        <v>69481.400000000009</v>
      </c>
    </row>
    <row r="174" spans="1:22" ht="3" customHeight="1" x14ac:dyDescent="0.2">
      <c r="A174" s="469"/>
      <c r="B174" s="470"/>
      <c r="C174" s="471"/>
      <c r="D174" s="470"/>
      <c r="E174" s="471"/>
      <c r="F174" s="470"/>
      <c r="G174" s="471"/>
      <c r="H174" s="470"/>
      <c r="I174" s="471"/>
      <c r="J174" s="470"/>
      <c r="K174" s="471"/>
      <c r="L174" s="435"/>
      <c r="M174" s="470"/>
      <c r="N174" s="471"/>
      <c r="O174" s="470"/>
      <c r="P174" s="471"/>
      <c r="R174" s="469"/>
      <c r="S174" s="470"/>
      <c r="T174" s="471"/>
      <c r="U174" s="470"/>
      <c r="V174" s="471"/>
    </row>
    <row r="175" spans="1:22" ht="12" thickBot="1" x14ac:dyDescent="0.25">
      <c r="A175" s="472" t="s">
        <v>205</v>
      </c>
      <c r="B175" s="473">
        <f t="shared" ref="B175:C175" si="69">SUM(B164:B174)</f>
        <v>86.333333333333329</v>
      </c>
      <c r="C175" s="474">
        <f t="shared" si="69"/>
        <v>6054770.61368478</v>
      </c>
      <c r="D175" s="473">
        <f>SUM(D164:D174)</f>
        <v>85.166666666666671</v>
      </c>
      <c r="E175" s="474">
        <f>SUM(E164:E174)</f>
        <v>6631602.3921568887</v>
      </c>
      <c r="F175" s="473">
        <f>SUM(F164:F174)</f>
        <v>84.583333333333329</v>
      </c>
      <c r="G175" s="474">
        <f>SUM(G164:G174)</f>
        <v>7074343.3986275773</v>
      </c>
      <c r="H175" s="473">
        <v>79</v>
      </c>
      <c r="I175" s="474">
        <v>7383248.7600000007</v>
      </c>
      <c r="J175" s="473">
        <v>79</v>
      </c>
      <c r="K175" s="474">
        <v>7829473.1900000013</v>
      </c>
      <c r="L175" s="435"/>
      <c r="M175" s="473">
        <f>IFERROR(H175-S175,"")</f>
        <v>0</v>
      </c>
      <c r="N175" s="474">
        <f>IFERROR(I175-T175,"")</f>
        <v>0</v>
      </c>
      <c r="O175" s="473">
        <f>IFERROR(J175-U175,"")</f>
        <v>0</v>
      </c>
      <c r="P175" s="474">
        <f>IFERROR(K175-V175,"")</f>
        <v>0</v>
      </c>
      <c r="R175" s="472" t="s">
        <v>205</v>
      </c>
      <c r="S175" s="473">
        <v>79</v>
      </c>
      <c r="T175" s="474">
        <v>7383248.7600000007</v>
      </c>
      <c r="U175" s="473">
        <v>79</v>
      </c>
      <c r="V175" s="474">
        <v>7829473.1900000013</v>
      </c>
    </row>
    <row r="176" spans="1:22" ht="12" thickTop="1" x14ac:dyDescent="0.2">
      <c r="A176" s="475"/>
      <c r="B176" s="477"/>
      <c r="C176" s="476"/>
      <c r="D176" s="477"/>
      <c r="E176" s="476"/>
      <c r="F176" s="477"/>
      <c r="G176" s="476"/>
      <c r="H176" s="477"/>
      <c r="I176" s="476"/>
      <c r="J176" s="477"/>
      <c r="K176" s="476"/>
      <c r="L176" s="435"/>
      <c r="M176" s="477"/>
      <c r="N176" s="476"/>
      <c r="O176" s="477"/>
      <c r="P176" s="476"/>
      <c r="R176" s="475"/>
      <c r="S176" s="477"/>
      <c r="T176" s="476"/>
      <c r="U176" s="477"/>
      <c r="V176" s="476"/>
    </row>
    <row r="177" spans="1:22" x14ac:dyDescent="0.2">
      <c r="A177" s="476"/>
      <c r="B177" s="477"/>
      <c r="C177" s="476"/>
      <c r="D177" s="477"/>
      <c r="E177" s="476"/>
      <c r="F177" s="477"/>
      <c r="G177" s="476"/>
      <c r="H177" s="477"/>
      <c r="I177" s="476"/>
      <c r="J177" s="477"/>
      <c r="K177" s="476"/>
      <c r="L177" s="435"/>
      <c r="M177" s="477"/>
      <c r="N177" s="476"/>
      <c r="O177" s="477"/>
      <c r="P177" s="476"/>
      <c r="R177" s="476"/>
      <c r="S177" s="477"/>
      <c r="T177" s="476"/>
      <c r="U177" s="477"/>
      <c r="V177" s="476"/>
    </row>
    <row r="178" spans="1:22" x14ac:dyDescent="0.2">
      <c r="A178" s="480" t="s">
        <v>311</v>
      </c>
      <c r="B178" s="482"/>
      <c r="C178" s="481"/>
      <c r="D178" s="482"/>
      <c r="E178" s="481"/>
      <c r="F178" s="482"/>
      <c r="G178" s="481"/>
      <c r="H178" s="482"/>
      <c r="I178" s="481"/>
      <c r="J178" s="482"/>
      <c r="K178" s="481"/>
      <c r="L178" s="435"/>
      <c r="M178" s="482"/>
      <c r="N178" s="481"/>
      <c r="O178" s="482"/>
      <c r="P178" s="481"/>
      <c r="R178" s="480" t="s">
        <v>311</v>
      </c>
      <c r="S178" s="482"/>
      <c r="T178" s="481"/>
      <c r="U178" s="482"/>
      <c r="V178" s="481"/>
    </row>
    <row r="179" spans="1:22" x14ac:dyDescent="0.2">
      <c r="A179" s="455" t="s">
        <v>301</v>
      </c>
      <c r="B179" s="456">
        <v>0</v>
      </c>
      <c r="C179" s="457">
        <v>0</v>
      </c>
      <c r="D179" s="456">
        <v>0</v>
      </c>
      <c r="E179" s="457">
        <v>0</v>
      </c>
      <c r="F179" s="456">
        <v>0</v>
      </c>
      <c r="G179" s="457">
        <v>0</v>
      </c>
      <c r="H179" s="456">
        <v>0</v>
      </c>
      <c r="I179" s="457">
        <v>0</v>
      </c>
      <c r="J179" s="456">
        <v>0</v>
      </c>
      <c r="K179" s="457">
        <v>0</v>
      </c>
      <c r="L179" s="435"/>
      <c r="M179" s="456">
        <f t="shared" ref="M179:M188" si="70">IFERROR(H179-S179,"")</f>
        <v>0</v>
      </c>
      <c r="N179" s="457">
        <f t="shared" ref="N179:N188" si="71">IFERROR(I179-T179,"")</f>
        <v>0</v>
      </c>
      <c r="O179" s="456">
        <f t="shared" ref="O179:O188" si="72">IFERROR(J179-U179,"")</f>
        <v>0</v>
      </c>
      <c r="P179" s="457">
        <f t="shared" ref="P179:P188" si="73">IFERROR(K179-V179,"")</f>
        <v>0</v>
      </c>
      <c r="R179" s="455" t="s">
        <v>301</v>
      </c>
      <c r="S179" s="456">
        <v>0</v>
      </c>
      <c r="T179" s="457">
        <v>0</v>
      </c>
      <c r="U179" s="456">
        <v>0</v>
      </c>
      <c r="V179" s="457">
        <v>0</v>
      </c>
    </row>
    <row r="180" spans="1:22" x14ac:dyDescent="0.2">
      <c r="A180" s="460" t="s">
        <v>302</v>
      </c>
      <c r="B180" s="461">
        <v>0</v>
      </c>
      <c r="C180" s="462">
        <v>0</v>
      </c>
      <c r="D180" s="461">
        <v>0</v>
      </c>
      <c r="E180" s="462">
        <v>0</v>
      </c>
      <c r="F180" s="461">
        <v>0</v>
      </c>
      <c r="G180" s="462">
        <v>0</v>
      </c>
      <c r="H180" s="461">
        <v>0</v>
      </c>
      <c r="I180" s="462">
        <v>0</v>
      </c>
      <c r="J180" s="461">
        <v>0</v>
      </c>
      <c r="K180" s="462">
        <v>0</v>
      </c>
      <c r="L180" s="435"/>
      <c r="M180" s="461">
        <f t="shared" si="70"/>
        <v>0</v>
      </c>
      <c r="N180" s="462">
        <f t="shared" si="71"/>
        <v>0</v>
      </c>
      <c r="O180" s="461">
        <f t="shared" si="72"/>
        <v>0</v>
      </c>
      <c r="P180" s="462">
        <f t="shared" si="73"/>
        <v>0</v>
      </c>
      <c r="R180" s="460" t="s">
        <v>302</v>
      </c>
      <c r="S180" s="461">
        <v>0</v>
      </c>
      <c r="T180" s="462">
        <v>0</v>
      </c>
      <c r="U180" s="461">
        <v>0</v>
      </c>
      <c r="V180" s="462">
        <v>0</v>
      </c>
    </row>
    <row r="181" spans="1:22" x14ac:dyDescent="0.2">
      <c r="A181" s="465" t="s">
        <v>303</v>
      </c>
      <c r="B181" s="461">
        <v>0</v>
      </c>
      <c r="C181" s="462">
        <v>0</v>
      </c>
      <c r="D181" s="461">
        <v>0</v>
      </c>
      <c r="E181" s="462">
        <v>0</v>
      </c>
      <c r="F181" s="461">
        <v>0</v>
      </c>
      <c r="G181" s="462">
        <v>0</v>
      </c>
      <c r="H181" s="461">
        <v>0</v>
      </c>
      <c r="I181" s="462">
        <v>0</v>
      </c>
      <c r="J181" s="461">
        <v>0</v>
      </c>
      <c r="K181" s="462">
        <v>0</v>
      </c>
      <c r="L181" s="435"/>
      <c r="M181" s="461">
        <f t="shared" si="70"/>
        <v>0</v>
      </c>
      <c r="N181" s="462">
        <f t="shared" si="71"/>
        <v>0</v>
      </c>
      <c r="O181" s="461">
        <f t="shared" si="72"/>
        <v>0</v>
      </c>
      <c r="P181" s="462">
        <f t="shared" si="73"/>
        <v>0</v>
      </c>
      <c r="R181" s="465" t="s">
        <v>303</v>
      </c>
      <c r="S181" s="461">
        <v>0</v>
      </c>
      <c r="T181" s="462">
        <v>0</v>
      </c>
      <c r="U181" s="461">
        <v>0</v>
      </c>
      <c r="V181" s="462">
        <v>0</v>
      </c>
    </row>
    <row r="182" spans="1:22" x14ac:dyDescent="0.2">
      <c r="A182" s="465" t="s">
        <v>304</v>
      </c>
      <c r="B182" s="461">
        <v>7.3725000000000005</v>
      </c>
      <c r="C182" s="462">
        <v>526690.99027683097</v>
      </c>
      <c r="D182" s="461">
        <v>8.081666666666667</v>
      </c>
      <c r="E182" s="462">
        <v>609647.26762095653</v>
      </c>
      <c r="F182" s="461">
        <v>8.8066666666666666</v>
      </c>
      <c r="G182" s="462">
        <v>646394.92178675288</v>
      </c>
      <c r="H182" s="461">
        <v>7.82</v>
      </c>
      <c r="I182" s="462">
        <v>661131.54000000015</v>
      </c>
      <c r="J182" s="461">
        <v>7.82</v>
      </c>
      <c r="K182" s="462">
        <v>682090.07000000018</v>
      </c>
      <c r="L182" s="435"/>
      <c r="M182" s="461">
        <f t="shared" si="70"/>
        <v>0</v>
      </c>
      <c r="N182" s="462">
        <f t="shared" si="71"/>
        <v>0</v>
      </c>
      <c r="O182" s="461">
        <f t="shared" si="72"/>
        <v>0</v>
      </c>
      <c r="P182" s="462">
        <f t="shared" si="73"/>
        <v>0</v>
      </c>
      <c r="R182" s="465" t="s">
        <v>304</v>
      </c>
      <c r="S182" s="461">
        <v>7.82</v>
      </c>
      <c r="T182" s="462">
        <v>661131.54000000015</v>
      </c>
      <c r="U182" s="461">
        <v>7.82</v>
      </c>
      <c r="V182" s="462">
        <v>682090.07000000018</v>
      </c>
    </row>
    <row r="183" spans="1:22" x14ac:dyDescent="0.2">
      <c r="A183" s="460" t="s">
        <v>305</v>
      </c>
      <c r="B183" s="461">
        <v>6.3125</v>
      </c>
      <c r="C183" s="462">
        <v>450599.51554065791</v>
      </c>
      <c r="D183" s="461">
        <v>6.0475000000000003</v>
      </c>
      <c r="E183" s="462">
        <v>444829.77893818804</v>
      </c>
      <c r="F183" s="461">
        <v>5.8341666666666665</v>
      </c>
      <c r="G183" s="462">
        <v>434389.59388079116</v>
      </c>
      <c r="H183" s="461">
        <v>6.37</v>
      </c>
      <c r="I183" s="462">
        <v>566263.1100000001</v>
      </c>
      <c r="J183" s="461">
        <v>6.37</v>
      </c>
      <c r="K183" s="462">
        <v>580035.28000000014</v>
      </c>
      <c r="L183" s="435"/>
      <c r="M183" s="461">
        <f t="shared" si="70"/>
        <v>0</v>
      </c>
      <c r="N183" s="462">
        <f t="shared" si="71"/>
        <v>0</v>
      </c>
      <c r="O183" s="461">
        <f t="shared" si="72"/>
        <v>0</v>
      </c>
      <c r="P183" s="462">
        <f t="shared" si="73"/>
        <v>0</v>
      </c>
      <c r="R183" s="460" t="s">
        <v>305</v>
      </c>
      <c r="S183" s="461">
        <v>6.37</v>
      </c>
      <c r="T183" s="462">
        <v>566263.1100000001</v>
      </c>
      <c r="U183" s="461">
        <v>6.37</v>
      </c>
      <c r="V183" s="462">
        <v>580035.28000000014</v>
      </c>
    </row>
    <row r="184" spans="1:22" x14ac:dyDescent="0.2">
      <c r="A184" s="460" t="s">
        <v>306</v>
      </c>
      <c r="B184" s="461">
        <v>0</v>
      </c>
      <c r="C184" s="462">
        <v>0</v>
      </c>
      <c r="D184" s="461">
        <v>0</v>
      </c>
      <c r="E184" s="462">
        <v>0</v>
      </c>
      <c r="F184" s="461">
        <v>0</v>
      </c>
      <c r="G184" s="462">
        <v>0</v>
      </c>
      <c r="H184" s="461">
        <v>1</v>
      </c>
      <c r="I184" s="462">
        <v>116631.72000000002</v>
      </c>
      <c r="J184" s="461">
        <v>1</v>
      </c>
      <c r="K184" s="462">
        <v>128764.65000000001</v>
      </c>
      <c r="L184" s="435"/>
      <c r="M184" s="461">
        <f t="shared" si="70"/>
        <v>0</v>
      </c>
      <c r="N184" s="462">
        <f t="shared" si="71"/>
        <v>0</v>
      </c>
      <c r="O184" s="461">
        <f t="shared" si="72"/>
        <v>0</v>
      </c>
      <c r="P184" s="462">
        <f t="shared" si="73"/>
        <v>0</v>
      </c>
      <c r="R184" s="460" t="s">
        <v>306</v>
      </c>
      <c r="S184" s="461">
        <v>1</v>
      </c>
      <c r="T184" s="462">
        <v>116631.72000000002</v>
      </c>
      <c r="U184" s="461">
        <v>1</v>
      </c>
      <c r="V184" s="462">
        <v>128764.65000000001</v>
      </c>
    </row>
    <row r="185" spans="1:22" x14ac:dyDescent="0.2">
      <c r="A185" s="465" t="s">
        <v>307</v>
      </c>
      <c r="B185" s="461">
        <v>52.682499999999997</v>
      </c>
      <c r="C185" s="462">
        <v>3015915.7132457746</v>
      </c>
      <c r="D185" s="461">
        <v>49.596666666666664</v>
      </c>
      <c r="E185" s="462">
        <v>2982636.9468225623</v>
      </c>
      <c r="F185" s="461">
        <v>47.783333333333339</v>
      </c>
      <c r="G185" s="462">
        <v>2905170.9793551229</v>
      </c>
      <c r="H185" s="461">
        <v>50.42</v>
      </c>
      <c r="I185" s="462">
        <v>2902972.1100000008</v>
      </c>
      <c r="J185" s="461">
        <v>50.42</v>
      </c>
      <c r="K185" s="462">
        <v>3081572.3400000003</v>
      </c>
      <c r="L185" s="435"/>
      <c r="M185" s="461">
        <f t="shared" si="70"/>
        <v>0</v>
      </c>
      <c r="N185" s="462">
        <f t="shared" si="71"/>
        <v>0</v>
      </c>
      <c r="O185" s="461">
        <f t="shared" si="72"/>
        <v>0</v>
      </c>
      <c r="P185" s="462">
        <f t="shared" si="73"/>
        <v>0</v>
      </c>
      <c r="R185" s="465" t="s">
        <v>307</v>
      </c>
      <c r="S185" s="461">
        <v>50.42</v>
      </c>
      <c r="T185" s="462">
        <v>2902972.1100000008</v>
      </c>
      <c r="U185" s="461">
        <v>50.42</v>
      </c>
      <c r="V185" s="462">
        <v>3081572.3400000003</v>
      </c>
    </row>
    <row r="186" spans="1:22" x14ac:dyDescent="0.2">
      <c r="A186" s="465" t="s">
        <v>308</v>
      </c>
      <c r="B186" s="461">
        <v>2.8791666666666669</v>
      </c>
      <c r="C186" s="462">
        <v>0</v>
      </c>
      <c r="D186" s="461">
        <v>2.8191666666666664</v>
      </c>
      <c r="E186" s="462">
        <v>0</v>
      </c>
      <c r="F186" s="461">
        <v>2.7133333333333334</v>
      </c>
      <c r="G186" s="462">
        <v>0</v>
      </c>
      <c r="H186" s="461">
        <v>0</v>
      </c>
      <c r="I186" s="462">
        <v>0</v>
      </c>
      <c r="J186" s="461">
        <v>0</v>
      </c>
      <c r="K186" s="462">
        <v>0</v>
      </c>
      <c r="L186" s="435"/>
      <c r="M186" s="461">
        <f t="shared" si="70"/>
        <v>0</v>
      </c>
      <c r="N186" s="462">
        <f t="shared" si="71"/>
        <v>0</v>
      </c>
      <c r="O186" s="461">
        <f t="shared" si="72"/>
        <v>0</v>
      </c>
      <c r="P186" s="462">
        <f t="shared" si="73"/>
        <v>0</v>
      </c>
      <c r="R186" s="465" t="s">
        <v>308</v>
      </c>
      <c r="S186" s="461">
        <v>0</v>
      </c>
      <c r="T186" s="462">
        <v>0</v>
      </c>
      <c r="U186" s="461">
        <v>0</v>
      </c>
      <c r="V186" s="462">
        <v>0</v>
      </c>
    </row>
    <row r="187" spans="1:22" x14ac:dyDescent="0.2">
      <c r="A187" s="465" t="s">
        <v>309</v>
      </c>
      <c r="B187" s="461">
        <v>0</v>
      </c>
      <c r="C187" s="462">
        <v>0</v>
      </c>
      <c r="D187" s="461">
        <v>0</v>
      </c>
      <c r="E187" s="462">
        <v>0</v>
      </c>
      <c r="F187" s="461">
        <v>0</v>
      </c>
      <c r="G187" s="462">
        <v>0</v>
      </c>
      <c r="H187" s="461">
        <v>0</v>
      </c>
      <c r="I187" s="462">
        <v>0</v>
      </c>
      <c r="J187" s="461">
        <v>0</v>
      </c>
      <c r="K187" s="462">
        <v>0</v>
      </c>
      <c r="L187" s="435"/>
      <c r="M187" s="461">
        <f t="shared" si="70"/>
        <v>0</v>
      </c>
      <c r="N187" s="462">
        <f t="shared" si="71"/>
        <v>0</v>
      </c>
      <c r="O187" s="461">
        <f t="shared" si="72"/>
        <v>0</v>
      </c>
      <c r="P187" s="462">
        <f t="shared" si="73"/>
        <v>0</v>
      </c>
      <c r="R187" s="465" t="s">
        <v>309</v>
      </c>
      <c r="S187" s="461">
        <v>0</v>
      </c>
      <c r="T187" s="462">
        <v>0</v>
      </c>
      <c r="U187" s="461">
        <v>0</v>
      </c>
      <c r="V187" s="462">
        <v>0</v>
      </c>
    </row>
    <row r="188" spans="1:22" x14ac:dyDescent="0.2">
      <c r="A188" s="466" t="s">
        <v>310</v>
      </c>
      <c r="B188" s="461">
        <v>0.13166666666666663</v>
      </c>
      <c r="C188" s="462">
        <v>11482.427370637732</v>
      </c>
      <c r="D188" s="461">
        <v>0.1875</v>
      </c>
      <c r="E188" s="462">
        <v>17225.508597138363</v>
      </c>
      <c r="F188" s="461">
        <v>0.31583333333333335</v>
      </c>
      <c r="G188" s="462">
        <v>30918.617128207236</v>
      </c>
      <c r="H188" s="461">
        <v>0.3</v>
      </c>
      <c r="I188" s="492">
        <v>36770.37000000001</v>
      </c>
      <c r="J188" s="461">
        <v>0.3</v>
      </c>
      <c r="K188" s="492">
        <v>40595.460000000006</v>
      </c>
      <c r="L188" s="435"/>
      <c r="M188" s="461">
        <f t="shared" si="70"/>
        <v>0</v>
      </c>
      <c r="N188" s="492">
        <f t="shared" si="71"/>
        <v>0</v>
      </c>
      <c r="O188" s="461">
        <f t="shared" si="72"/>
        <v>0</v>
      </c>
      <c r="P188" s="492">
        <f t="shared" si="73"/>
        <v>0</v>
      </c>
      <c r="R188" s="466" t="s">
        <v>310</v>
      </c>
      <c r="S188" s="461">
        <v>0.3</v>
      </c>
      <c r="T188" s="492">
        <v>36770.37000000001</v>
      </c>
      <c r="U188" s="461">
        <v>0.3</v>
      </c>
      <c r="V188" s="492">
        <v>40595.460000000006</v>
      </c>
    </row>
    <row r="189" spans="1:22" ht="3" customHeight="1" x14ac:dyDescent="0.2">
      <c r="A189" s="469"/>
      <c r="B189" s="470"/>
      <c r="C189" s="471"/>
      <c r="D189" s="470"/>
      <c r="E189" s="471"/>
      <c r="F189" s="470"/>
      <c r="G189" s="471"/>
      <c r="H189" s="470"/>
      <c r="I189" s="471"/>
      <c r="J189" s="470"/>
      <c r="K189" s="471"/>
      <c r="L189" s="435"/>
      <c r="M189" s="470"/>
      <c r="N189" s="471"/>
      <c r="O189" s="470"/>
      <c r="P189" s="471"/>
      <c r="R189" s="469"/>
      <c r="S189" s="470"/>
      <c r="T189" s="471"/>
      <c r="U189" s="470"/>
      <c r="V189" s="471"/>
    </row>
    <row r="190" spans="1:22" ht="12" thickBot="1" x14ac:dyDescent="0.25">
      <c r="A190" s="472" t="s">
        <v>205</v>
      </c>
      <c r="B190" s="473">
        <f t="shared" ref="B190:C190" si="74">SUM(B179:B189)</f>
        <v>69.378333333333316</v>
      </c>
      <c r="C190" s="474">
        <f t="shared" si="74"/>
        <v>4004688.646433901</v>
      </c>
      <c r="D190" s="473">
        <f>SUM(D179:D189)</f>
        <v>66.732499999999987</v>
      </c>
      <c r="E190" s="474">
        <f>SUM(E179:E189)</f>
        <v>4054339.5019788453</v>
      </c>
      <c r="F190" s="473">
        <f>SUM(F179:F189)</f>
        <v>65.453333333333333</v>
      </c>
      <c r="G190" s="474">
        <f>SUM(G179:G189)</f>
        <v>4016874.112150874</v>
      </c>
      <c r="H190" s="473">
        <v>65.91</v>
      </c>
      <c r="I190" s="474">
        <v>4283768.8500000015</v>
      </c>
      <c r="J190" s="473">
        <v>65.91</v>
      </c>
      <c r="K190" s="474">
        <v>4513057.8000000007</v>
      </c>
      <c r="L190" s="435"/>
      <c r="M190" s="473">
        <f>IFERROR(H190-S190,"")</f>
        <v>0</v>
      </c>
      <c r="N190" s="474">
        <f>IFERROR(I190-T190,"")</f>
        <v>0</v>
      </c>
      <c r="O190" s="473">
        <f>IFERROR(J190-U190,"")</f>
        <v>0</v>
      </c>
      <c r="P190" s="474">
        <f>IFERROR(K190-V190,"")</f>
        <v>0</v>
      </c>
      <c r="R190" s="472" t="s">
        <v>205</v>
      </c>
      <c r="S190" s="473">
        <v>65.91</v>
      </c>
      <c r="T190" s="474">
        <v>4283768.8500000015</v>
      </c>
      <c r="U190" s="473">
        <v>65.91</v>
      </c>
      <c r="V190" s="474">
        <v>4513057.8000000007</v>
      </c>
    </row>
    <row r="191" spans="1:22" ht="12" thickTop="1" x14ac:dyDescent="0.2">
      <c r="A191" s="475"/>
      <c r="B191" s="477"/>
      <c r="C191" s="476"/>
      <c r="D191" s="477"/>
      <c r="E191" s="476"/>
      <c r="F191" s="477"/>
      <c r="G191" s="476"/>
      <c r="H191" s="477"/>
      <c r="I191" s="476"/>
      <c r="J191" s="477"/>
      <c r="K191" s="476"/>
      <c r="L191" s="435"/>
      <c r="M191" s="477"/>
      <c r="N191" s="476"/>
      <c r="O191" s="477"/>
      <c r="P191" s="476"/>
      <c r="R191" s="475"/>
      <c r="S191" s="477"/>
      <c r="T191" s="476"/>
      <c r="U191" s="477"/>
      <c r="V191" s="476"/>
    </row>
    <row r="192" spans="1:22" ht="12.75" x14ac:dyDescent="0.2">
      <c r="A192" s="476"/>
      <c r="B192" s="493"/>
      <c r="C192" s="483"/>
      <c r="D192" s="493"/>
      <c r="E192" s="483"/>
      <c r="F192" s="493"/>
      <c r="G192" s="483"/>
      <c r="H192" s="493"/>
      <c r="I192" s="494"/>
      <c r="J192" s="493"/>
      <c r="K192" s="494"/>
      <c r="L192" s="435"/>
      <c r="M192" s="493"/>
      <c r="N192" s="494"/>
      <c r="O192" s="493"/>
      <c r="P192" s="494"/>
      <c r="R192" s="476"/>
      <c r="S192" s="493"/>
      <c r="T192" s="494"/>
      <c r="U192" s="493"/>
      <c r="V192" s="494"/>
    </row>
    <row r="193" spans="1:22" x14ac:dyDescent="0.2">
      <c r="A193" s="485" t="s">
        <v>312</v>
      </c>
      <c r="B193" s="487"/>
      <c r="C193" s="486"/>
      <c r="D193" s="487"/>
      <c r="E193" s="486"/>
      <c r="F193" s="487"/>
      <c r="G193" s="486"/>
      <c r="H193" s="487"/>
      <c r="I193" s="486"/>
      <c r="J193" s="487"/>
      <c r="K193" s="486"/>
      <c r="L193" s="435"/>
      <c r="M193" s="487"/>
      <c r="N193" s="486"/>
      <c r="O193" s="487"/>
      <c r="P193" s="486"/>
      <c r="R193" s="485" t="s">
        <v>312</v>
      </c>
      <c r="S193" s="487"/>
      <c r="T193" s="486"/>
      <c r="U193" s="487"/>
      <c r="V193" s="486"/>
    </row>
    <row r="194" spans="1:22" x14ac:dyDescent="0.2">
      <c r="A194" s="455" t="s">
        <v>301</v>
      </c>
      <c r="B194" s="456">
        <v>0</v>
      </c>
      <c r="C194" s="457">
        <v>0</v>
      </c>
      <c r="D194" s="456">
        <v>0</v>
      </c>
      <c r="E194" s="457">
        <v>0</v>
      </c>
      <c r="F194" s="456">
        <v>0</v>
      </c>
      <c r="G194" s="457">
        <v>0</v>
      </c>
      <c r="H194" s="456">
        <v>0</v>
      </c>
      <c r="I194" s="457">
        <v>0</v>
      </c>
      <c r="J194" s="456">
        <v>0</v>
      </c>
      <c r="K194" s="457">
        <v>0</v>
      </c>
      <c r="L194" s="435"/>
      <c r="M194" s="456">
        <f t="shared" ref="M194:M203" si="75">IFERROR(H194-S194,"")</f>
        <v>0</v>
      </c>
      <c r="N194" s="457">
        <f t="shared" ref="N194:N203" si="76">IFERROR(I194-T194,"")</f>
        <v>0</v>
      </c>
      <c r="O194" s="456">
        <f t="shared" ref="O194:O203" si="77">IFERROR(J194-U194,"")</f>
        <v>0</v>
      </c>
      <c r="P194" s="457">
        <f t="shared" ref="P194:P203" si="78">IFERROR(K194-V194,"")</f>
        <v>0</v>
      </c>
      <c r="R194" s="455" t="s">
        <v>301</v>
      </c>
      <c r="S194" s="456">
        <v>0</v>
      </c>
      <c r="T194" s="457">
        <v>0</v>
      </c>
      <c r="U194" s="456">
        <v>0</v>
      </c>
      <c r="V194" s="457">
        <v>0</v>
      </c>
    </row>
    <row r="195" spans="1:22" x14ac:dyDescent="0.2">
      <c r="A195" s="460" t="s">
        <v>302</v>
      </c>
      <c r="B195" s="461">
        <v>0</v>
      </c>
      <c r="C195" s="462">
        <v>0</v>
      </c>
      <c r="D195" s="461">
        <v>0</v>
      </c>
      <c r="E195" s="462">
        <v>0</v>
      </c>
      <c r="F195" s="461">
        <v>0</v>
      </c>
      <c r="G195" s="462">
        <v>0</v>
      </c>
      <c r="H195" s="461">
        <v>0</v>
      </c>
      <c r="I195" s="462">
        <v>0</v>
      </c>
      <c r="J195" s="461">
        <v>0</v>
      </c>
      <c r="K195" s="462">
        <v>0</v>
      </c>
      <c r="L195" s="435"/>
      <c r="M195" s="461">
        <f t="shared" si="75"/>
        <v>0</v>
      </c>
      <c r="N195" s="462">
        <f t="shared" si="76"/>
        <v>0</v>
      </c>
      <c r="O195" s="461">
        <f t="shared" si="77"/>
        <v>0</v>
      </c>
      <c r="P195" s="462">
        <f t="shared" si="78"/>
        <v>0</v>
      </c>
      <c r="R195" s="460" t="s">
        <v>302</v>
      </c>
      <c r="S195" s="461">
        <v>0</v>
      </c>
      <c r="T195" s="462">
        <v>0</v>
      </c>
      <c r="U195" s="461">
        <v>0</v>
      </c>
      <c r="V195" s="462">
        <v>0</v>
      </c>
    </row>
    <row r="196" spans="1:22" x14ac:dyDescent="0.2">
      <c r="A196" s="465" t="s">
        <v>303</v>
      </c>
      <c r="B196" s="461">
        <v>0</v>
      </c>
      <c r="C196" s="462">
        <v>0</v>
      </c>
      <c r="D196" s="461">
        <v>0</v>
      </c>
      <c r="E196" s="462">
        <v>0</v>
      </c>
      <c r="F196" s="461">
        <v>0</v>
      </c>
      <c r="G196" s="462">
        <v>0</v>
      </c>
      <c r="H196" s="461">
        <v>0</v>
      </c>
      <c r="I196" s="462">
        <v>0</v>
      </c>
      <c r="J196" s="461">
        <v>0</v>
      </c>
      <c r="K196" s="462">
        <v>0</v>
      </c>
      <c r="L196" s="435"/>
      <c r="M196" s="461">
        <f t="shared" si="75"/>
        <v>0</v>
      </c>
      <c r="N196" s="462">
        <f t="shared" si="76"/>
        <v>0</v>
      </c>
      <c r="O196" s="461">
        <f t="shared" si="77"/>
        <v>0</v>
      </c>
      <c r="P196" s="462">
        <f t="shared" si="78"/>
        <v>0</v>
      </c>
      <c r="R196" s="465" t="s">
        <v>303</v>
      </c>
      <c r="S196" s="461">
        <v>0</v>
      </c>
      <c r="T196" s="462">
        <v>0</v>
      </c>
      <c r="U196" s="461">
        <v>0</v>
      </c>
      <c r="V196" s="462">
        <v>0</v>
      </c>
    </row>
    <row r="197" spans="1:22" x14ac:dyDescent="0.2">
      <c r="A197" s="465" t="s">
        <v>304</v>
      </c>
      <c r="B197" s="461">
        <v>0</v>
      </c>
      <c r="C197" s="462">
        <v>109335.2411519754</v>
      </c>
      <c r="D197" s="461">
        <v>0</v>
      </c>
      <c r="E197" s="462">
        <v>113439.02874144621</v>
      </c>
      <c r="F197" s="461">
        <v>0</v>
      </c>
      <c r="G197" s="462">
        <v>149032.47916499327</v>
      </c>
      <c r="H197" s="461">
        <v>0</v>
      </c>
      <c r="I197" s="462">
        <v>134164.34999999998</v>
      </c>
      <c r="J197" s="461">
        <v>0</v>
      </c>
      <c r="K197" s="462">
        <v>142539.82</v>
      </c>
      <c r="L197" s="435"/>
      <c r="M197" s="461">
        <f t="shared" si="75"/>
        <v>0</v>
      </c>
      <c r="N197" s="462">
        <f t="shared" si="76"/>
        <v>0</v>
      </c>
      <c r="O197" s="461">
        <f t="shared" si="77"/>
        <v>0</v>
      </c>
      <c r="P197" s="462">
        <f t="shared" si="78"/>
        <v>0</v>
      </c>
      <c r="R197" s="465" t="s">
        <v>304</v>
      </c>
      <c r="S197" s="461">
        <v>0</v>
      </c>
      <c r="T197" s="462">
        <v>134164.34999999998</v>
      </c>
      <c r="U197" s="461">
        <v>0</v>
      </c>
      <c r="V197" s="462">
        <v>142539.82</v>
      </c>
    </row>
    <row r="198" spans="1:22" x14ac:dyDescent="0.2">
      <c r="A198" s="460" t="s">
        <v>305</v>
      </c>
      <c r="B198" s="461">
        <v>0</v>
      </c>
      <c r="C198" s="462">
        <v>30008.901331565539</v>
      </c>
      <c r="D198" s="461">
        <v>0</v>
      </c>
      <c r="E198" s="462">
        <v>24225.619978425548</v>
      </c>
      <c r="F198" s="461">
        <v>0</v>
      </c>
      <c r="G198" s="462">
        <v>29288.761441040402</v>
      </c>
      <c r="H198" s="461">
        <v>0</v>
      </c>
      <c r="I198" s="462">
        <v>90658.540000000008</v>
      </c>
      <c r="J198" s="461">
        <v>0</v>
      </c>
      <c r="K198" s="462">
        <v>91591.53</v>
      </c>
      <c r="L198" s="435"/>
      <c r="M198" s="461">
        <f t="shared" si="75"/>
        <v>0</v>
      </c>
      <c r="N198" s="462">
        <f t="shared" si="76"/>
        <v>0</v>
      </c>
      <c r="O198" s="461">
        <f t="shared" si="77"/>
        <v>0</v>
      </c>
      <c r="P198" s="462">
        <f t="shared" si="78"/>
        <v>0</v>
      </c>
      <c r="R198" s="460" t="s">
        <v>305</v>
      </c>
      <c r="S198" s="461">
        <v>0</v>
      </c>
      <c r="T198" s="462">
        <v>90658.540000000008</v>
      </c>
      <c r="U198" s="461">
        <v>0</v>
      </c>
      <c r="V198" s="462">
        <v>91591.53</v>
      </c>
    </row>
    <row r="199" spans="1:22" x14ac:dyDescent="0.2">
      <c r="A199" s="460" t="s">
        <v>306</v>
      </c>
      <c r="B199" s="461">
        <v>0</v>
      </c>
      <c r="C199" s="462">
        <v>0</v>
      </c>
      <c r="D199" s="461">
        <v>0</v>
      </c>
      <c r="E199" s="462">
        <v>0</v>
      </c>
      <c r="F199" s="461">
        <v>0</v>
      </c>
      <c r="G199" s="462">
        <v>0</v>
      </c>
      <c r="H199" s="461">
        <v>0</v>
      </c>
      <c r="I199" s="462">
        <v>12626.03</v>
      </c>
      <c r="J199" s="461">
        <v>0</v>
      </c>
      <c r="K199" s="462">
        <v>17195.350000000002</v>
      </c>
      <c r="L199" s="435"/>
      <c r="M199" s="461">
        <f t="shared" si="75"/>
        <v>0</v>
      </c>
      <c r="N199" s="462">
        <f t="shared" si="76"/>
        <v>0</v>
      </c>
      <c r="O199" s="461">
        <f t="shared" si="77"/>
        <v>0</v>
      </c>
      <c r="P199" s="462">
        <f t="shared" si="78"/>
        <v>0</v>
      </c>
      <c r="R199" s="460" t="s">
        <v>306</v>
      </c>
      <c r="S199" s="461">
        <v>0</v>
      </c>
      <c r="T199" s="462">
        <v>12626.03</v>
      </c>
      <c r="U199" s="461">
        <v>0</v>
      </c>
      <c r="V199" s="462">
        <v>17195.350000000002</v>
      </c>
    </row>
    <row r="200" spans="1:22" x14ac:dyDescent="0.2">
      <c r="A200" s="465" t="s">
        <v>307</v>
      </c>
      <c r="B200" s="461">
        <v>0</v>
      </c>
      <c r="C200" s="462">
        <v>557778.11671573401</v>
      </c>
      <c r="D200" s="461">
        <v>0</v>
      </c>
      <c r="E200" s="462">
        <v>626706.90767397452</v>
      </c>
      <c r="F200" s="461">
        <v>0</v>
      </c>
      <c r="G200" s="462">
        <v>580650.33365260623</v>
      </c>
      <c r="H200" s="461">
        <v>0</v>
      </c>
      <c r="I200" s="462">
        <v>499587.22999999992</v>
      </c>
      <c r="J200" s="461">
        <v>0</v>
      </c>
      <c r="K200" s="462">
        <v>564148.97</v>
      </c>
      <c r="L200" s="435"/>
      <c r="M200" s="461">
        <f t="shared" si="75"/>
        <v>0</v>
      </c>
      <c r="N200" s="462">
        <f t="shared" si="76"/>
        <v>0</v>
      </c>
      <c r="O200" s="461">
        <f t="shared" si="77"/>
        <v>0</v>
      </c>
      <c r="P200" s="462">
        <f t="shared" si="78"/>
        <v>0</v>
      </c>
      <c r="R200" s="465" t="s">
        <v>307</v>
      </c>
      <c r="S200" s="461">
        <v>0</v>
      </c>
      <c r="T200" s="462">
        <v>499587.22999999992</v>
      </c>
      <c r="U200" s="461">
        <v>0</v>
      </c>
      <c r="V200" s="462">
        <v>564148.97</v>
      </c>
    </row>
    <row r="201" spans="1:22" x14ac:dyDescent="0.2">
      <c r="A201" s="465" t="s">
        <v>308</v>
      </c>
      <c r="B201" s="461">
        <v>0</v>
      </c>
      <c r="C201" s="462">
        <v>0</v>
      </c>
      <c r="D201" s="461">
        <v>0</v>
      </c>
      <c r="E201" s="462">
        <v>0</v>
      </c>
      <c r="F201" s="461">
        <v>0</v>
      </c>
      <c r="G201" s="462">
        <v>0</v>
      </c>
      <c r="H201" s="461">
        <v>0</v>
      </c>
      <c r="I201" s="462">
        <v>0</v>
      </c>
      <c r="J201" s="461">
        <v>0</v>
      </c>
      <c r="K201" s="462">
        <v>0</v>
      </c>
      <c r="L201" s="435"/>
      <c r="M201" s="461">
        <f t="shared" si="75"/>
        <v>0</v>
      </c>
      <c r="N201" s="462">
        <f t="shared" si="76"/>
        <v>0</v>
      </c>
      <c r="O201" s="461">
        <f t="shared" si="77"/>
        <v>0</v>
      </c>
      <c r="P201" s="462">
        <f t="shared" si="78"/>
        <v>0</v>
      </c>
      <c r="R201" s="465" t="s">
        <v>308</v>
      </c>
      <c r="S201" s="461">
        <v>0</v>
      </c>
      <c r="T201" s="462">
        <v>0</v>
      </c>
      <c r="U201" s="461">
        <v>0</v>
      </c>
      <c r="V201" s="462">
        <v>0</v>
      </c>
    </row>
    <row r="202" spans="1:22" x14ac:dyDescent="0.2">
      <c r="A202" s="465" t="s">
        <v>309</v>
      </c>
      <c r="B202" s="461">
        <v>0</v>
      </c>
      <c r="C202" s="462">
        <v>0</v>
      </c>
      <c r="D202" s="461">
        <v>0</v>
      </c>
      <c r="E202" s="462">
        <v>0</v>
      </c>
      <c r="F202" s="461">
        <v>0</v>
      </c>
      <c r="G202" s="462">
        <v>0</v>
      </c>
      <c r="H202" s="461">
        <v>0</v>
      </c>
      <c r="I202" s="462">
        <v>0</v>
      </c>
      <c r="J202" s="461">
        <v>0</v>
      </c>
      <c r="K202" s="462">
        <v>0</v>
      </c>
      <c r="L202" s="435"/>
      <c r="M202" s="461">
        <f t="shared" si="75"/>
        <v>0</v>
      </c>
      <c r="N202" s="462">
        <f t="shared" si="76"/>
        <v>0</v>
      </c>
      <c r="O202" s="461">
        <f t="shared" si="77"/>
        <v>0</v>
      </c>
      <c r="P202" s="462">
        <f t="shared" si="78"/>
        <v>0</v>
      </c>
      <c r="R202" s="465" t="s">
        <v>309</v>
      </c>
      <c r="S202" s="461">
        <v>0</v>
      </c>
      <c r="T202" s="462">
        <v>0</v>
      </c>
      <c r="U202" s="461">
        <v>0</v>
      </c>
      <c r="V202" s="462">
        <v>0</v>
      </c>
    </row>
    <row r="203" spans="1:22" x14ac:dyDescent="0.2">
      <c r="A203" s="466" t="s">
        <v>310</v>
      </c>
      <c r="B203" s="461">
        <v>0</v>
      </c>
      <c r="C203" s="462">
        <v>0</v>
      </c>
      <c r="D203" s="461">
        <v>0</v>
      </c>
      <c r="E203" s="462">
        <v>0</v>
      </c>
      <c r="F203" s="461">
        <v>0</v>
      </c>
      <c r="G203" s="462">
        <v>0</v>
      </c>
      <c r="H203" s="461">
        <v>0</v>
      </c>
      <c r="I203" s="492">
        <v>0</v>
      </c>
      <c r="J203" s="461">
        <v>0</v>
      </c>
      <c r="K203" s="492">
        <v>0</v>
      </c>
      <c r="L203" s="435"/>
      <c r="M203" s="461">
        <f t="shared" si="75"/>
        <v>0</v>
      </c>
      <c r="N203" s="492">
        <f t="shared" si="76"/>
        <v>0</v>
      </c>
      <c r="O203" s="461">
        <f t="shared" si="77"/>
        <v>0</v>
      </c>
      <c r="P203" s="492">
        <f t="shared" si="78"/>
        <v>0</v>
      </c>
      <c r="R203" s="466" t="s">
        <v>310</v>
      </c>
      <c r="S203" s="461">
        <v>0</v>
      </c>
      <c r="T203" s="492">
        <v>0</v>
      </c>
      <c r="U203" s="461">
        <v>0</v>
      </c>
      <c r="V203" s="492">
        <v>0</v>
      </c>
    </row>
    <row r="204" spans="1:22" ht="3" customHeight="1" x14ac:dyDescent="0.2">
      <c r="A204" s="469"/>
      <c r="B204" s="470"/>
      <c r="C204" s="471"/>
      <c r="D204" s="470"/>
      <c r="E204" s="471"/>
      <c r="F204" s="470"/>
      <c r="G204" s="471"/>
      <c r="H204" s="470"/>
      <c r="I204" s="471"/>
      <c r="J204" s="470"/>
      <c r="K204" s="471"/>
      <c r="L204" s="435"/>
      <c r="M204" s="470"/>
      <c r="N204" s="471"/>
      <c r="O204" s="470"/>
      <c r="P204" s="471"/>
      <c r="R204" s="469"/>
      <c r="S204" s="470"/>
      <c r="T204" s="471"/>
      <c r="U204" s="470"/>
      <c r="V204" s="471"/>
    </row>
    <row r="205" spans="1:22" ht="12" thickBot="1" x14ac:dyDescent="0.25">
      <c r="A205" s="472" t="s">
        <v>205</v>
      </c>
      <c r="B205" s="473">
        <f t="shared" ref="B205" si="79">SUM(B194:B204)</f>
        <v>0</v>
      </c>
      <c r="C205" s="474">
        <f t="shared" ref="C205:D205" si="80">SUM(C194:C204)</f>
        <v>697122.25919927494</v>
      </c>
      <c r="D205" s="473">
        <f t="shared" si="80"/>
        <v>0</v>
      </c>
      <c r="E205" s="474">
        <f>SUM(E194:E204)</f>
        <v>764371.55639384629</v>
      </c>
      <c r="F205" s="473">
        <f t="shared" ref="F205" si="81">SUM(F194:F204)</f>
        <v>0</v>
      </c>
      <c r="G205" s="474">
        <f>SUM(G194:G204)</f>
        <v>758971.57425863994</v>
      </c>
      <c r="H205" s="473">
        <v>0</v>
      </c>
      <c r="I205" s="474">
        <v>737036.14999999991</v>
      </c>
      <c r="J205" s="473">
        <v>0</v>
      </c>
      <c r="K205" s="474">
        <v>815475.66999999993</v>
      </c>
      <c r="L205" s="435"/>
      <c r="M205" s="473">
        <f>IFERROR(H205-S205,"")</f>
        <v>0</v>
      </c>
      <c r="N205" s="474">
        <f>IFERROR(I205-T205,"")</f>
        <v>0</v>
      </c>
      <c r="O205" s="473">
        <f>IFERROR(J205-U205,"")</f>
        <v>0</v>
      </c>
      <c r="P205" s="474">
        <f>IFERROR(K205-V205,"")</f>
        <v>0</v>
      </c>
      <c r="R205" s="472" t="s">
        <v>205</v>
      </c>
      <c r="S205" s="473">
        <v>0</v>
      </c>
      <c r="T205" s="474">
        <v>737036.14999999991</v>
      </c>
      <c r="U205" s="473">
        <v>0</v>
      </c>
      <c r="V205" s="474">
        <v>815475.66999999993</v>
      </c>
    </row>
    <row r="206" spans="1:22" ht="12" thickTop="1" x14ac:dyDescent="0.2">
      <c r="A206" s="475"/>
      <c r="B206" s="477"/>
      <c r="C206" s="476"/>
      <c r="D206" s="477"/>
      <c r="E206" s="476"/>
      <c r="F206" s="477"/>
      <c r="G206" s="476"/>
      <c r="H206" s="477"/>
      <c r="I206" s="476"/>
      <c r="J206" s="477"/>
      <c r="K206" s="476"/>
      <c r="L206" s="435"/>
      <c r="M206" s="477"/>
      <c r="N206" s="476"/>
      <c r="O206" s="477"/>
      <c r="P206" s="476"/>
      <c r="R206" s="475"/>
      <c r="S206" s="477"/>
      <c r="T206" s="476"/>
      <c r="U206" s="477"/>
      <c r="V206" s="476"/>
    </row>
    <row r="207" spans="1:22" x14ac:dyDescent="0.2">
      <c r="A207" s="476"/>
      <c r="B207" s="477"/>
      <c r="C207" s="476"/>
      <c r="D207" s="477"/>
      <c r="E207" s="476"/>
      <c r="F207" s="477"/>
      <c r="G207" s="476"/>
      <c r="H207" s="477"/>
      <c r="I207" s="476"/>
      <c r="J207" s="477"/>
      <c r="K207" s="476"/>
      <c r="L207" s="435"/>
      <c r="M207" s="477"/>
      <c r="N207" s="476"/>
      <c r="O207" s="477"/>
      <c r="P207" s="476"/>
      <c r="R207" s="476"/>
      <c r="S207" s="477"/>
      <c r="T207" s="476"/>
      <c r="U207" s="477"/>
      <c r="V207" s="476"/>
    </row>
    <row r="208" spans="1:22" x14ac:dyDescent="0.2">
      <c r="A208" s="480" t="s">
        <v>313</v>
      </c>
      <c r="B208" s="487"/>
      <c r="C208" s="486"/>
      <c r="D208" s="487"/>
      <c r="E208" s="486"/>
      <c r="F208" s="487"/>
      <c r="G208" s="486"/>
      <c r="H208" s="487"/>
      <c r="I208" s="486"/>
      <c r="J208" s="487"/>
      <c r="K208" s="486"/>
      <c r="L208" s="435"/>
      <c r="M208" s="487"/>
      <c r="N208" s="486"/>
      <c r="O208" s="487"/>
      <c r="P208" s="486"/>
      <c r="R208" s="480" t="s">
        <v>313</v>
      </c>
      <c r="S208" s="487"/>
      <c r="T208" s="486"/>
      <c r="U208" s="487"/>
      <c r="V208" s="486"/>
    </row>
    <row r="209" spans="1:22" x14ac:dyDescent="0.2">
      <c r="A209" s="455" t="s">
        <v>301</v>
      </c>
      <c r="B209" s="456">
        <v>0</v>
      </c>
      <c r="C209" s="457">
        <v>0</v>
      </c>
      <c r="D209" s="456">
        <v>0</v>
      </c>
      <c r="E209" s="457">
        <v>0</v>
      </c>
      <c r="F209" s="456">
        <v>0</v>
      </c>
      <c r="G209" s="457">
        <v>0</v>
      </c>
      <c r="H209" s="456">
        <v>0</v>
      </c>
      <c r="I209" s="457">
        <v>0</v>
      </c>
      <c r="J209" s="456">
        <v>0</v>
      </c>
      <c r="K209" s="457">
        <v>0</v>
      </c>
      <c r="L209" s="435"/>
      <c r="M209" s="456">
        <f t="shared" ref="M209:M218" si="82">IFERROR(H209-S209,"")</f>
        <v>0</v>
      </c>
      <c r="N209" s="457">
        <f t="shared" ref="N209:N218" si="83">IFERROR(I209-T209,"")</f>
        <v>0</v>
      </c>
      <c r="O209" s="456">
        <f t="shared" ref="O209:O218" si="84">IFERROR(J209-U209,"")</f>
        <v>0</v>
      </c>
      <c r="P209" s="457">
        <f t="shared" ref="P209:P218" si="85">IFERROR(K209-V209,"")</f>
        <v>0</v>
      </c>
      <c r="R209" s="455" t="s">
        <v>301</v>
      </c>
      <c r="S209" s="456">
        <v>0</v>
      </c>
      <c r="T209" s="457">
        <v>0</v>
      </c>
      <c r="U209" s="456">
        <v>0</v>
      </c>
      <c r="V209" s="457">
        <v>0</v>
      </c>
    </row>
    <row r="210" spans="1:22" x14ac:dyDescent="0.2">
      <c r="A210" s="460" t="s">
        <v>302</v>
      </c>
      <c r="B210" s="461">
        <v>0</v>
      </c>
      <c r="C210" s="462">
        <v>0</v>
      </c>
      <c r="D210" s="461">
        <v>0</v>
      </c>
      <c r="E210" s="462">
        <v>0</v>
      </c>
      <c r="F210" s="461">
        <v>0</v>
      </c>
      <c r="G210" s="462">
        <v>0</v>
      </c>
      <c r="H210" s="461">
        <v>0</v>
      </c>
      <c r="I210" s="462">
        <v>0</v>
      </c>
      <c r="J210" s="461">
        <v>0</v>
      </c>
      <c r="K210" s="462">
        <v>0</v>
      </c>
      <c r="L210" s="435"/>
      <c r="M210" s="461">
        <f t="shared" si="82"/>
        <v>0</v>
      </c>
      <c r="N210" s="462">
        <f t="shared" si="83"/>
        <v>0</v>
      </c>
      <c r="O210" s="461">
        <f t="shared" si="84"/>
        <v>0</v>
      </c>
      <c r="P210" s="462">
        <f t="shared" si="85"/>
        <v>0</v>
      </c>
      <c r="R210" s="460" t="s">
        <v>302</v>
      </c>
      <c r="S210" s="461">
        <v>0</v>
      </c>
      <c r="T210" s="462">
        <v>0</v>
      </c>
      <c r="U210" s="461">
        <v>0</v>
      </c>
      <c r="V210" s="462">
        <v>0</v>
      </c>
    </row>
    <row r="211" spans="1:22" x14ac:dyDescent="0.2">
      <c r="A211" s="465" t="s">
        <v>303</v>
      </c>
      <c r="B211" s="461">
        <v>0</v>
      </c>
      <c r="C211" s="462">
        <v>0</v>
      </c>
      <c r="D211" s="461">
        <v>0</v>
      </c>
      <c r="E211" s="462">
        <v>0</v>
      </c>
      <c r="F211" s="461">
        <v>0</v>
      </c>
      <c r="G211" s="462">
        <v>0</v>
      </c>
      <c r="H211" s="461">
        <v>0</v>
      </c>
      <c r="I211" s="462">
        <v>0</v>
      </c>
      <c r="J211" s="461">
        <v>0</v>
      </c>
      <c r="K211" s="462">
        <v>0</v>
      </c>
      <c r="L211" s="435"/>
      <c r="M211" s="461">
        <f t="shared" si="82"/>
        <v>0</v>
      </c>
      <c r="N211" s="462">
        <f t="shared" si="83"/>
        <v>0</v>
      </c>
      <c r="O211" s="461">
        <f t="shared" si="84"/>
        <v>0</v>
      </c>
      <c r="P211" s="462">
        <f t="shared" si="85"/>
        <v>0</v>
      </c>
      <c r="R211" s="465" t="s">
        <v>303</v>
      </c>
      <c r="S211" s="461">
        <v>0</v>
      </c>
      <c r="T211" s="462">
        <v>0</v>
      </c>
      <c r="U211" s="461">
        <v>0</v>
      </c>
      <c r="V211" s="462">
        <v>0</v>
      </c>
    </row>
    <row r="212" spans="1:22" x14ac:dyDescent="0.2">
      <c r="A212" s="465" t="s">
        <v>304</v>
      </c>
      <c r="B212" s="461">
        <v>0</v>
      </c>
      <c r="C212" s="462">
        <v>27126.654351336088</v>
      </c>
      <c r="D212" s="461">
        <v>0</v>
      </c>
      <c r="E212" s="462">
        <v>26871.372855848698</v>
      </c>
      <c r="F212" s="461">
        <v>0</v>
      </c>
      <c r="G212" s="462">
        <v>43079.823383657516</v>
      </c>
      <c r="H212" s="461">
        <v>0</v>
      </c>
      <c r="I212" s="462">
        <v>43305.72</v>
      </c>
      <c r="J212" s="461">
        <v>0</v>
      </c>
      <c r="K212" s="462">
        <v>45115.530000000006</v>
      </c>
      <c r="L212" s="435"/>
      <c r="M212" s="461">
        <f t="shared" si="82"/>
        <v>0</v>
      </c>
      <c r="N212" s="462">
        <f t="shared" si="83"/>
        <v>0</v>
      </c>
      <c r="O212" s="461">
        <f t="shared" si="84"/>
        <v>0</v>
      </c>
      <c r="P212" s="462">
        <f t="shared" si="85"/>
        <v>0</v>
      </c>
      <c r="R212" s="465" t="s">
        <v>304</v>
      </c>
      <c r="S212" s="461">
        <v>0</v>
      </c>
      <c r="T212" s="462">
        <v>43305.72</v>
      </c>
      <c r="U212" s="461">
        <v>0</v>
      </c>
      <c r="V212" s="462">
        <v>45115.530000000006</v>
      </c>
    </row>
    <row r="213" spans="1:22" x14ac:dyDescent="0.2">
      <c r="A213" s="460" t="s">
        <v>305</v>
      </c>
      <c r="B213" s="461">
        <v>0</v>
      </c>
      <c r="C213" s="462">
        <v>130676.10673688431</v>
      </c>
      <c r="D213" s="461">
        <v>0</v>
      </c>
      <c r="E213" s="462">
        <v>153361.82318693624</v>
      </c>
      <c r="F213" s="461">
        <v>0</v>
      </c>
      <c r="G213" s="462">
        <v>202849.49879183355</v>
      </c>
      <c r="H213" s="461">
        <v>0</v>
      </c>
      <c r="I213" s="462">
        <v>204239.16999999998</v>
      </c>
      <c r="J213" s="461">
        <v>0</v>
      </c>
      <c r="K213" s="462">
        <v>209789.16000000003</v>
      </c>
      <c r="L213" s="435"/>
      <c r="M213" s="461">
        <f t="shared" si="82"/>
        <v>0</v>
      </c>
      <c r="N213" s="462">
        <f t="shared" si="83"/>
        <v>0</v>
      </c>
      <c r="O213" s="461">
        <f t="shared" si="84"/>
        <v>0</v>
      </c>
      <c r="P213" s="462">
        <f t="shared" si="85"/>
        <v>0</v>
      </c>
      <c r="R213" s="460" t="s">
        <v>305</v>
      </c>
      <c r="S213" s="461">
        <v>0</v>
      </c>
      <c r="T213" s="462">
        <v>204239.16999999998</v>
      </c>
      <c r="U213" s="461">
        <v>0</v>
      </c>
      <c r="V213" s="462">
        <v>209789.16000000003</v>
      </c>
    </row>
    <row r="214" spans="1:22" x14ac:dyDescent="0.2">
      <c r="A214" s="460" t="s">
        <v>306</v>
      </c>
      <c r="B214" s="461">
        <v>0</v>
      </c>
      <c r="C214" s="462">
        <v>0</v>
      </c>
      <c r="D214" s="461">
        <v>0</v>
      </c>
      <c r="E214" s="462">
        <v>0</v>
      </c>
      <c r="F214" s="461">
        <v>0</v>
      </c>
      <c r="G214" s="462">
        <v>0</v>
      </c>
      <c r="H214" s="461">
        <v>0</v>
      </c>
      <c r="I214" s="462">
        <v>0</v>
      </c>
      <c r="J214" s="461">
        <v>0</v>
      </c>
      <c r="K214" s="462">
        <v>0</v>
      </c>
      <c r="L214" s="435"/>
      <c r="M214" s="461">
        <f t="shared" si="82"/>
        <v>0</v>
      </c>
      <c r="N214" s="462">
        <f t="shared" si="83"/>
        <v>0</v>
      </c>
      <c r="O214" s="461">
        <f t="shared" si="84"/>
        <v>0</v>
      </c>
      <c r="P214" s="462">
        <f t="shared" si="85"/>
        <v>0</v>
      </c>
      <c r="R214" s="460" t="s">
        <v>306</v>
      </c>
      <c r="S214" s="461">
        <v>0</v>
      </c>
      <c r="T214" s="462">
        <v>0</v>
      </c>
      <c r="U214" s="461">
        <v>0</v>
      </c>
      <c r="V214" s="462">
        <v>0</v>
      </c>
    </row>
    <row r="215" spans="1:22" x14ac:dyDescent="0.2">
      <c r="A215" s="465" t="s">
        <v>307</v>
      </c>
      <c r="B215" s="461">
        <v>0</v>
      </c>
      <c r="C215" s="462">
        <v>53317.463072512895</v>
      </c>
      <c r="D215" s="461">
        <v>0</v>
      </c>
      <c r="E215" s="462">
        <v>56681.875401547004</v>
      </c>
      <c r="F215" s="461">
        <v>0</v>
      </c>
      <c r="G215" s="462">
        <v>350463.58385016129</v>
      </c>
      <c r="H215" s="461">
        <v>0</v>
      </c>
      <c r="I215" s="462">
        <v>333343.82</v>
      </c>
      <c r="J215" s="461">
        <v>0</v>
      </c>
      <c r="K215" s="462">
        <v>357676.75</v>
      </c>
      <c r="L215" s="435"/>
      <c r="M215" s="461">
        <f t="shared" si="82"/>
        <v>0</v>
      </c>
      <c r="N215" s="462">
        <f t="shared" si="83"/>
        <v>0</v>
      </c>
      <c r="O215" s="461">
        <f t="shared" si="84"/>
        <v>0</v>
      </c>
      <c r="P215" s="462">
        <f t="shared" si="85"/>
        <v>0</v>
      </c>
      <c r="R215" s="465" t="s">
        <v>307</v>
      </c>
      <c r="S215" s="461">
        <v>0</v>
      </c>
      <c r="T215" s="462">
        <v>333343.82</v>
      </c>
      <c r="U215" s="461">
        <v>0</v>
      </c>
      <c r="V215" s="462">
        <v>357676.75</v>
      </c>
    </row>
    <row r="216" spans="1:22" x14ac:dyDescent="0.2">
      <c r="A216" s="465" t="s">
        <v>308</v>
      </c>
      <c r="B216" s="461">
        <v>0</v>
      </c>
      <c r="C216" s="462">
        <v>0</v>
      </c>
      <c r="D216" s="461">
        <v>0</v>
      </c>
      <c r="E216" s="462">
        <v>0</v>
      </c>
      <c r="F216" s="461">
        <v>0</v>
      </c>
      <c r="G216" s="462">
        <v>0</v>
      </c>
      <c r="H216" s="461">
        <v>0</v>
      </c>
      <c r="I216" s="462">
        <v>0</v>
      </c>
      <c r="J216" s="461">
        <v>0</v>
      </c>
      <c r="K216" s="462">
        <v>0</v>
      </c>
      <c r="L216" s="435"/>
      <c r="M216" s="461">
        <f t="shared" si="82"/>
        <v>0</v>
      </c>
      <c r="N216" s="462">
        <f t="shared" si="83"/>
        <v>0</v>
      </c>
      <c r="O216" s="461">
        <f t="shared" si="84"/>
        <v>0</v>
      </c>
      <c r="P216" s="462">
        <f t="shared" si="85"/>
        <v>0</v>
      </c>
      <c r="R216" s="465" t="s">
        <v>308</v>
      </c>
      <c r="S216" s="461">
        <v>0</v>
      </c>
      <c r="T216" s="462">
        <v>0</v>
      </c>
      <c r="U216" s="461">
        <v>0</v>
      </c>
      <c r="V216" s="462">
        <v>0</v>
      </c>
    </row>
    <row r="217" spans="1:22" x14ac:dyDescent="0.2">
      <c r="A217" s="465" t="s">
        <v>309</v>
      </c>
      <c r="B217" s="461">
        <v>0</v>
      </c>
      <c r="C217" s="462">
        <v>0</v>
      </c>
      <c r="D217" s="461">
        <v>0</v>
      </c>
      <c r="E217" s="462">
        <v>0</v>
      </c>
      <c r="F217" s="461">
        <v>0</v>
      </c>
      <c r="G217" s="462">
        <v>0</v>
      </c>
      <c r="H217" s="461">
        <v>0</v>
      </c>
      <c r="I217" s="462">
        <v>0</v>
      </c>
      <c r="J217" s="461">
        <v>0</v>
      </c>
      <c r="K217" s="462">
        <v>0</v>
      </c>
      <c r="L217" s="435"/>
      <c r="M217" s="461">
        <f t="shared" si="82"/>
        <v>0</v>
      </c>
      <c r="N217" s="462">
        <f t="shared" si="83"/>
        <v>0</v>
      </c>
      <c r="O217" s="461">
        <f t="shared" si="84"/>
        <v>0</v>
      </c>
      <c r="P217" s="462">
        <f t="shared" si="85"/>
        <v>0</v>
      </c>
      <c r="R217" s="465" t="s">
        <v>309</v>
      </c>
      <c r="S217" s="461">
        <v>0</v>
      </c>
      <c r="T217" s="462">
        <v>0</v>
      </c>
      <c r="U217" s="461">
        <v>0</v>
      </c>
      <c r="V217" s="462">
        <v>0</v>
      </c>
    </row>
    <row r="218" spans="1:22" x14ac:dyDescent="0.2">
      <c r="A218" s="466" t="s">
        <v>310</v>
      </c>
      <c r="B218" s="461">
        <v>0</v>
      </c>
      <c r="C218" s="462">
        <v>835.56364918414386</v>
      </c>
      <c r="D218" s="461">
        <v>0</v>
      </c>
      <c r="E218" s="462">
        <v>1226.2653392093864</v>
      </c>
      <c r="F218" s="461">
        <v>0</v>
      </c>
      <c r="G218" s="462">
        <v>2190.7260139676855</v>
      </c>
      <c r="H218" s="461">
        <v>0</v>
      </c>
      <c r="I218" s="492">
        <v>2251.8000000000002</v>
      </c>
      <c r="J218" s="461">
        <v>0</v>
      </c>
      <c r="K218" s="492">
        <v>2685.47</v>
      </c>
      <c r="L218" s="435"/>
      <c r="M218" s="461">
        <f t="shared" si="82"/>
        <v>0</v>
      </c>
      <c r="N218" s="492">
        <f t="shared" si="83"/>
        <v>0</v>
      </c>
      <c r="O218" s="461">
        <f t="shared" si="84"/>
        <v>0</v>
      </c>
      <c r="P218" s="492">
        <f t="shared" si="85"/>
        <v>0</v>
      </c>
      <c r="R218" s="466" t="s">
        <v>310</v>
      </c>
      <c r="S218" s="461">
        <v>0</v>
      </c>
      <c r="T218" s="492">
        <v>2251.8000000000002</v>
      </c>
      <c r="U218" s="461">
        <v>0</v>
      </c>
      <c r="V218" s="492">
        <v>2685.47</v>
      </c>
    </row>
    <row r="219" spans="1:22" ht="3" customHeight="1" x14ac:dyDescent="0.2">
      <c r="A219" s="469"/>
      <c r="B219" s="470"/>
      <c r="C219" s="471"/>
      <c r="D219" s="470"/>
      <c r="E219" s="471"/>
      <c r="F219" s="470"/>
      <c r="G219" s="471"/>
      <c r="H219" s="470"/>
      <c r="I219" s="471"/>
      <c r="J219" s="470"/>
      <c r="K219" s="471"/>
      <c r="L219" s="435"/>
      <c r="M219" s="470"/>
      <c r="N219" s="471"/>
      <c r="O219" s="470"/>
      <c r="P219" s="471"/>
      <c r="R219" s="469"/>
      <c r="S219" s="470"/>
      <c r="T219" s="471"/>
      <c r="U219" s="470"/>
      <c r="V219" s="471"/>
    </row>
    <row r="220" spans="1:22" ht="12" thickBot="1" x14ac:dyDescent="0.25">
      <c r="A220" s="472" t="s">
        <v>205</v>
      </c>
      <c r="B220" s="473">
        <f t="shared" ref="B220:G220" si="86">SUM(B209:B219)</f>
        <v>0</v>
      </c>
      <c r="C220" s="474">
        <f t="shared" si="86"/>
        <v>211955.78780991744</v>
      </c>
      <c r="D220" s="473">
        <f t="shared" si="86"/>
        <v>0</v>
      </c>
      <c r="E220" s="474">
        <f t="shared" si="86"/>
        <v>238141.33678354131</v>
      </c>
      <c r="F220" s="473">
        <f t="shared" si="86"/>
        <v>0</v>
      </c>
      <c r="G220" s="474">
        <f t="shared" si="86"/>
        <v>598583.63203961996</v>
      </c>
      <c r="H220" s="473">
        <v>0</v>
      </c>
      <c r="I220" s="474">
        <v>583140.51</v>
      </c>
      <c r="J220" s="473">
        <v>0</v>
      </c>
      <c r="K220" s="474">
        <v>615266.91</v>
      </c>
      <c r="L220" s="435"/>
      <c r="M220" s="473">
        <f>IFERROR(H220-S220,"")</f>
        <v>0</v>
      </c>
      <c r="N220" s="474">
        <f>IFERROR(I220-T220,"")</f>
        <v>0</v>
      </c>
      <c r="O220" s="473">
        <f>IFERROR(J220-U220,"")</f>
        <v>0</v>
      </c>
      <c r="P220" s="474">
        <f>IFERROR(K220-V220,"")</f>
        <v>0</v>
      </c>
      <c r="R220" s="472" t="s">
        <v>205</v>
      </c>
      <c r="S220" s="473">
        <v>0</v>
      </c>
      <c r="T220" s="474">
        <v>583140.51</v>
      </c>
      <c r="U220" s="473">
        <v>0</v>
      </c>
      <c r="V220" s="474">
        <v>615266.91</v>
      </c>
    </row>
    <row r="221" spans="1:22" ht="12" thickTop="1" x14ac:dyDescent="0.2">
      <c r="A221" s="475"/>
      <c r="B221" s="477"/>
      <c r="C221" s="476"/>
      <c r="D221" s="477"/>
      <c r="E221" s="476"/>
      <c r="F221" s="477"/>
      <c r="G221" s="476"/>
      <c r="H221" s="477"/>
      <c r="I221" s="476"/>
      <c r="J221" s="477"/>
      <c r="K221" s="476"/>
      <c r="L221" s="435"/>
      <c r="M221" s="477"/>
      <c r="N221" s="476"/>
      <c r="O221" s="477"/>
      <c r="P221" s="476"/>
      <c r="R221" s="475"/>
      <c r="S221" s="477"/>
      <c r="T221" s="476"/>
      <c r="U221" s="477"/>
      <c r="V221" s="476"/>
    </row>
    <row r="222" spans="1:22" x14ac:dyDescent="0.2">
      <c r="A222" s="476"/>
      <c r="B222" s="477"/>
      <c r="C222" s="476"/>
      <c r="D222" s="477"/>
      <c r="E222" s="476"/>
      <c r="F222" s="477"/>
      <c r="G222" s="476"/>
      <c r="H222" s="477"/>
      <c r="I222" s="476"/>
      <c r="J222" s="477"/>
      <c r="K222" s="476"/>
      <c r="L222" s="435"/>
      <c r="M222" s="477"/>
      <c r="N222" s="476"/>
      <c r="O222" s="477"/>
      <c r="P222" s="476"/>
      <c r="R222" s="476"/>
      <c r="S222" s="477"/>
      <c r="T222" s="476"/>
      <c r="U222" s="477"/>
      <c r="V222" s="476"/>
    </row>
    <row r="223" spans="1:22" x14ac:dyDescent="0.2">
      <c r="A223" s="480" t="s">
        <v>314</v>
      </c>
      <c r="B223" s="482"/>
      <c r="C223" s="481"/>
      <c r="D223" s="482"/>
      <c r="E223" s="481"/>
      <c r="F223" s="482"/>
      <c r="G223" s="481"/>
      <c r="H223" s="482"/>
      <c r="I223" s="481"/>
      <c r="J223" s="482"/>
      <c r="K223" s="481"/>
      <c r="L223" s="435"/>
      <c r="M223" s="482"/>
      <c r="N223" s="481"/>
      <c r="O223" s="482"/>
      <c r="P223" s="481"/>
      <c r="R223" s="480" t="s">
        <v>314</v>
      </c>
      <c r="S223" s="482"/>
      <c r="T223" s="481"/>
      <c r="U223" s="482"/>
      <c r="V223" s="481"/>
    </row>
    <row r="224" spans="1:22" x14ac:dyDescent="0.2">
      <c r="A224" s="455" t="s">
        <v>301</v>
      </c>
      <c r="B224" s="456">
        <v>0</v>
      </c>
      <c r="C224" s="457">
        <v>0</v>
      </c>
      <c r="D224" s="456">
        <v>0</v>
      </c>
      <c r="E224" s="457">
        <v>0</v>
      </c>
      <c r="F224" s="456">
        <v>0</v>
      </c>
      <c r="G224" s="457">
        <v>0</v>
      </c>
      <c r="H224" s="456">
        <v>0</v>
      </c>
      <c r="I224" s="457">
        <v>0</v>
      </c>
      <c r="J224" s="456">
        <v>0</v>
      </c>
      <c r="K224" s="457">
        <v>0</v>
      </c>
      <c r="L224" s="435"/>
      <c r="M224" s="456">
        <f t="shared" ref="M224:M233" si="87">IFERROR(H224-S224,"")</f>
        <v>0</v>
      </c>
      <c r="N224" s="457">
        <f t="shared" ref="N224:N233" si="88">IFERROR(I224-T224,"")</f>
        <v>0</v>
      </c>
      <c r="O224" s="456">
        <f t="shared" ref="O224:O233" si="89">IFERROR(J224-U224,"")</f>
        <v>0</v>
      </c>
      <c r="P224" s="457">
        <f t="shared" ref="P224:P233" si="90">IFERROR(K224-V224,"")</f>
        <v>0</v>
      </c>
      <c r="R224" s="455" t="s">
        <v>301</v>
      </c>
      <c r="S224" s="456">
        <v>0</v>
      </c>
      <c r="T224" s="457">
        <v>0</v>
      </c>
      <c r="U224" s="456">
        <v>0</v>
      </c>
      <c r="V224" s="457">
        <v>0</v>
      </c>
    </row>
    <row r="225" spans="1:22" x14ac:dyDescent="0.2">
      <c r="A225" s="465" t="s">
        <v>302</v>
      </c>
      <c r="B225" s="461">
        <v>0</v>
      </c>
      <c r="C225" s="462">
        <v>0</v>
      </c>
      <c r="D225" s="461">
        <v>0</v>
      </c>
      <c r="E225" s="462">
        <v>0</v>
      </c>
      <c r="F225" s="461">
        <v>0</v>
      </c>
      <c r="G225" s="462">
        <v>0</v>
      </c>
      <c r="H225" s="461">
        <v>0</v>
      </c>
      <c r="I225" s="462">
        <v>0</v>
      </c>
      <c r="J225" s="461">
        <v>0</v>
      </c>
      <c r="K225" s="462">
        <v>0</v>
      </c>
      <c r="L225" s="435"/>
      <c r="M225" s="461">
        <f t="shared" si="87"/>
        <v>0</v>
      </c>
      <c r="N225" s="462">
        <f t="shared" si="88"/>
        <v>0</v>
      </c>
      <c r="O225" s="461">
        <f t="shared" si="89"/>
        <v>0</v>
      </c>
      <c r="P225" s="462">
        <f t="shared" si="90"/>
        <v>0</v>
      </c>
      <c r="R225" s="465" t="s">
        <v>302</v>
      </c>
      <c r="S225" s="461">
        <v>0</v>
      </c>
      <c r="T225" s="462">
        <v>0</v>
      </c>
      <c r="U225" s="461">
        <v>0</v>
      </c>
      <c r="V225" s="462">
        <v>0</v>
      </c>
    </row>
    <row r="226" spans="1:22" x14ac:dyDescent="0.2">
      <c r="A226" s="460" t="s">
        <v>303</v>
      </c>
      <c r="B226" s="461">
        <v>0</v>
      </c>
      <c r="C226" s="462">
        <v>0</v>
      </c>
      <c r="D226" s="461">
        <v>0</v>
      </c>
      <c r="E226" s="462">
        <v>0</v>
      </c>
      <c r="F226" s="461">
        <v>0</v>
      </c>
      <c r="G226" s="462">
        <v>0</v>
      </c>
      <c r="H226" s="461">
        <v>0</v>
      </c>
      <c r="I226" s="462">
        <v>0</v>
      </c>
      <c r="J226" s="461">
        <v>0</v>
      </c>
      <c r="K226" s="462">
        <v>0</v>
      </c>
      <c r="L226" s="435"/>
      <c r="M226" s="461">
        <f t="shared" si="87"/>
        <v>0</v>
      </c>
      <c r="N226" s="462">
        <f t="shared" si="88"/>
        <v>0</v>
      </c>
      <c r="O226" s="461">
        <f t="shared" si="89"/>
        <v>0</v>
      </c>
      <c r="P226" s="462">
        <f t="shared" si="90"/>
        <v>0</v>
      </c>
      <c r="R226" s="460" t="s">
        <v>303</v>
      </c>
      <c r="S226" s="461">
        <v>0</v>
      </c>
      <c r="T226" s="462">
        <v>0</v>
      </c>
      <c r="U226" s="461">
        <v>0</v>
      </c>
      <c r="V226" s="462">
        <v>0</v>
      </c>
    </row>
    <row r="227" spans="1:22" x14ac:dyDescent="0.2">
      <c r="A227" s="465" t="s">
        <v>304</v>
      </c>
      <c r="B227" s="461">
        <v>0</v>
      </c>
      <c r="C227" s="462">
        <v>228884.58302509668</v>
      </c>
      <c r="D227" s="461">
        <v>0</v>
      </c>
      <c r="E227" s="462">
        <v>272938.41975042404</v>
      </c>
      <c r="F227" s="461">
        <v>0</v>
      </c>
      <c r="G227" s="462">
        <v>341721.65009496687</v>
      </c>
      <c r="H227" s="461">
        <v>0</v>
      </c>
      <c r="I227" s="462">
        <v>354590.76999999996</v>
      </c>
      <c r="J227" s="461">
        <v>0</v>
      </c>
      <c r="K227" s="462">
        <v>367532.51</v>
      </c>
      <c r="L227" s="435"/>
      <c r="M227" s="461">
        <f t="shared" si="87"/>
        <v>0</v>
      </c>
      <c r="N227" s="462">
        <f t="shared" si="88"/>
        <v>0</v>
      </c>
      <c r="O227" s="461">
        <f t="shared" si="89"/>
        <v>0</v>
      </c>
      <c r="P227" s="462">
        <f t="shared" si="90"/>
        <v>0</v>
      </c>
      <c r="R227" s="465" t="s">
        <v>304</v>
      </c>
      <c r="S227" s="461">
        <v>0</v>
      </c>
      <c r="T227" s="462">
        <v>354590.76999999996</v>
      </c>
      <c r="U227" s="461">
        <v>0</v>
      </c>
      <c r="V227" s="462">
        <v>367532.51</v>
      </c>
    </row>
    <row r="228" spans="1:22" x14ac:dyDescent="0.2">
      <c r="A228" s="465" t="s">
        <v>305</v>
      </c>
      <c r="B228" s="461">
        <v>0</v>
      </c>
      <c r="C228" s="462">
        <v>150029.45764517033</v>
      </c>
      <c r="D228" s="461">
        <v>0</v>
      </c>
      <c r="E228" s="462">
        <v>195656.5648960137</v>
      </c>
      <c r="F228" s="461">
        <v>0</v>
      </c>
      <c r="G228" s="462">
        <v>222444.9141423215</v>
      </c>
      <c r="H228" s="461">
        <v>0</v>
      </c>
      <c r="I228" s="462">
        <v>257015.31</v>
      </c>
      <c r="J228" s="461">
        <v>0</v>
      </c>
      <c r="K228" s="462">
        <v>263979.81999999995</v>
      </c>
      <c r="L228" s="435"/>
      <c r="M228" s="461">
        <f t="shared" si="87"/>
        <v>0</v>
      </c>
      <c r="N228" s="462">
        <f t="shared" si="88"/>
        <v>0</v>
      </c>
      <c r="O228" s="461">
        <f t="shared" si="89"/>
        <v>0</v>
      </c>
      <c r="P228" s="462">
        <f t="shared" si="90"/>
        <v>0</v>
      </c>
      <c r="R228" s="465" t="s">
        <v>305</v>
      </c>
      <c r="S228" s="461">
        <v>0</v>
      </c>
      <c r="T228" s="462">
        <v>257015.31</v>
      </c>
      <c r="U228" s="461">
        <v>0</v>
      </c>
      <c r="V228" s="462">
        <v>263979.81999999995</v>
      </c>
    </row>
    <row r="229" spans="1:22" x14ac:dyDescent="0.2">
      <c r="A229" s="465" t="s">
        <v>306</v>
      </c>
      <c r="B229" s="461">
        <v>0</v>
      </c>
      <c r="C229" s="462">
        <v>0</v>
      </c>
      <c r="D229" s="461">
        <v>0</v>
      </c>
      <c r="E229" s="462">
        <v>0</v>
      </c>
      <c r="F229" s="461">
        <v>0</v>
      </c>
      <c r="G229" s="462">
        <v>0</v>
      </c>
      <c r="H229" s="461">
        <v>0</v>
      </c>
      <c r="I229" s="462">
        <v>1413.9500000000003</v>
      </c>
      <c r="J229" s="461">
        <v>0</v>
      </c>
      <c r="K229" s="462">
        <v>1564.01</v>
      </c>
      <c r="L229" s="435"/>
      <c r="M229" s="461">
        <f t="shared" si="87"/>
        <v>0</v>
      </c>
      <c r="N229" s="462">
        <f t="shared" si="88"/>
        <v>0</v>
      </c>
      <c r="O229" s="461">
        <f t="shared" si="89"/>
        <v>0</v>
      </c>
      <c r="P229" s="462">
        <f t="shared" si="90"/>
        <v>0</v>
      </c>
      <c r="R229" s="465" t="s">
        <v>306</v>
      </c>
      <c r="S229" s="461">
        <v>0</v>
      </c>
      <c r="T229" s="462">
        <v>1413.9500000000003</v>
      </c>
      <c r="U229" s="461">
        <v>0</v>
      </c>
      <c r="V229" s="462">
        <v>1564.01</v>
      </c>
    </row>
    <row r="230" spans="1:22" x14ac:dyDescent="0.2">
      <c r="A230" s="465" t="s">
        <v>307</v>
      </c>
      <c r="B230" s="461">
        <v>0</v>
      </c>
      <c r="C230" s="462">
        <v>750275.35380361357</v>
      </c>
      <c r="D230" s="461">
        <v>0</v>
      </c>
      <c r="E230" s="462">
        <v>1094912.1668385356</v>
      </c>
      <c r="F230" s="461">
        <v>0</v>
      </c>
      <c r="G230" s="462">
        <v>1116297.088079503</v>
      </c>
      <c r="H230" s="461">
        <v>0</v>
      </c>
      <c r="I230" s="462">
        <v>1143269.1800000002</v>
      </c>
      <c r="J230" s="461">
        <v>0</v>
      </c>
      <c r="K230" s="462">
        <v>1226395.9999999998</v>
      </c>
      <c r="L230" s="435"/>
      <c r="M230" s="461">
        <f t="shared" si="87"/>
        <v>0</v>
      </c>
      <c r="N230" s="462">
        <f t="shared" si="88"/>
        <v>0</v>
      </c>
      <c r="O230" s="461">
        <f t="shared" si="89"/>
        <v>0</v>
      </c>
      <c r="P230" s="462">
        <f t="shared" si="90"/>
        <v>0</v>
      </c>
      <c r="R230" s="465" t="s">
        <v>307</v>
      </c>
      <c r="S230" s="461">
        <v>0</v>
      </c>
      <c r="T230" s="462">
        <v>1143269.1800000002</v>
      </c>
      <c r="U230" s="461">
        <v>0</v>
      </c>
      <c r="V230" s="462">
        <v>1226395.9999999998</v>
      </c>
    </row>
    <row r="231" spans="1:22" x14ac:dyDescent="0.2">
      <c r="A231" s="465" t="s">
        <v>308</v>
      </c>
      <c r="B231" s="461">
        <v>0</v>
      </c>
      <c r="C231" s="462">
        <v>0</v>
      </c>
      <c r="D231" s="461">
        <v>0</v>
      </c>
      <c r="E231" s="462">
        <v>0</v>
      </c>
      <c r="F231" s="461">
        <v>0</v>
      </c>
      <c r="G231" s="462">
        <v>0</v>
      </c>
      <c r="H231" s="461">
        <v>0</v>
      </c>
      <c r="I231" s="462">
        <v>0</v>
      </c>
      <c r="J231" s="461">
        <v>0</v>
      </c>
      <c r="K231" s="462">
        <v>0</v>
      </c>
      <c r="L231" s="435"/>
      <c r="M231" s="461">
        <f t="shared" si="87"/>
        <v>0</v>
      </c>
      <c r="N231" s="462">
        <f t="shared" si="88"/>
        <v>0</v>
      </c>
      <c r="O231" s="461">
        <f t="shared" si="89"/>
        <v>0</v>
      </c>
      <c r="P231" s="462">
        <f t="shared" si="90"/>
        <v>0</v>
      </c>
      <c r="R231" s="465" t="s">
        <v>308</v>
      </c>
      <c r="S231" s="461">
        <v>0</v>
      </c>
      <c r="T231" s="462">
        <v>0</v>
      </c>
      <c r="U231" s="461">
        <v>0</v>
      </c>
      <c r="V231" s="462">
        <v>0</v>
      </c>
    </row>
    <row r="232" spans="1:22" x14ac:dyDescent="0.2">
      <c r="A232" s="465" t="s">
        <v>309</v>
      </c>
      <c r="B232" s="461">
        <v>0</v>
      </c>
      <c r="C232" s="462">
        <v>0</v>
      </c>
      <c r="D232" s="461">
        <v>0</v>
      </c>
      <c r="E232" s="462">
        <v>0</v>
      </c>
      <c r="F232" s="461">
        <v>0</v>
      </c>
      <c r="G232" s="462">
        <v>0</v>
      </c>
      <c r="H232" s="461">
        <v>0</v>
      </c>
      <c r="I232" s="462">
        <v>0</v>
      </c>
      <c r="J232" s="461">
        <v>0</v>
      </c>
      <c r="K232" s="462">
        <v>0</v>
      </c>
      <c r="L232" s="435"/>
      <c r="M232" s="461">
        <f t="shared" si="87"/>
        <v>0</v>
      </c>
      <c r="N232" s="462">
        <f t="shared" si="88"/>
        <v>0</v>
      </c>
      <c r="O232" s="461">
        <f t="shared" si="89"/>
        <v>0</v>
      </c>
      <c r="P232" s="462">
        <f t="shared" si="90"/>
        <v>0</v>
      </c>
      <c r="R232" s="465" t="s">
        <v>309</v>
      </c>
      <c r="S232" s="461">
        <v>0</v>
      </c>
      <c r="T232" s="462">
        <v>0</v>
      </c>
      <c r="U232" s="461">
        <v>0</v>
      </c>
      <c r="V232" s="462">
        <v>0</v>
      </c>
    </row>
    <row r="233" spans="1:22" x14ac:dyDescent="0.2">
      <c r="A233" s="466" t="s">
        <v>310</v>
      </c>
      <c r="B233" s="461">
        <v>0</v>
      </c>
      <c r="C233" s="462">
        <v>11814.525767805393</v>
      </c>
      <c r="D233" s="461">
        <v>0</v>
      </c>
      <c r="E233" s="462">
        <v>11242.845515682067</v>
      </c>
      <c r="F233" s="461">
        <v>0</v>
      </c>
      <c r="G233" s="462">
        <v>19450.427861652926</v>
      </c>
      <c r="H233" s="461">
        <v>0</v>
      </c>
      <c r="I233" s="492">
        <v>23014.04</v>
      </c>
      <c r="J233" s="461">
        <v>0</v>
      </c>
      <c r="K233" s="492">
        <v>26200.47</v>
      </c>
      <c r="L233" s="435"/>
      <c r="M233" s="461">
        <f t="shared" si="87"/>
        <v>0</v>
      </c>
      <c r="N233" s="492">
        <f t="shared" si="88"/>
        <v>0</v>
      </c>
      <c r="O233" s="461">
        <f t="shared" si="89"/>
        <v>0</v>
      </c>
      <c r="P233" s="492">
        <f t="shared" si="90"/>
        <v>0</v>
      </c>
      <c r="R233" s="466" t="s">
        <v>310</v>
      </c>
      <c r="S233" s="461">
        <v>0</v>
      </c>
      <c r="T233" s="492">
        <v>23014.04</v>
      </c>
      <c r="U233" s="461">
        <v>0</v>
      </c>
      <c r="V233" s="492">
        <v>26200.47</v>
      </c>
    </row>
    <row r="234" spans="1:22" ht="3" customHeight="1" x14ac:dyDescent="0.2">
      <c r="A234" s="469"/>
      <c r="B234" s="470"/>
      <c r="C234" s="471"/>
      <c r="D234" s="470"/>
      <c r="E234" s="471"/>
      <c r="F234" s="470"/>
      <c r="G234" s="471"/>
      <c r="H234" s="470"/>
      <c r="I234" s="471"/>
      <c r="J234" s="470"/>
      <c r="K234" s="471"/>
      <c r="L234" s="435"/>
      <c r="M234" s="470"/>
      <c r="N234" s="471"/>
      <c r="O234" s="470"/>
      <c r="P234" s="471"/>
      <c r="R234" s="469"/>
      <c r="S234" s="470"/>
      <c r="T234" s="471"/>
      <c r="U234" s="470"/>
      <c r="V234" s="471"/>
    </row>
    <row r="235" spans="1:22" ht="12" thickBot="1" x14ac:dyDescent="0.25">
      <c r="A235" s="472" t="s">
        <v>205</v>
      </c>
      <c r="B235" s="473">
        <f t="shared" ref="B235:G235" si="91">SUM(B224:B234)</f>
        <v>0</v>
      </c>
      <c r="C235" s="474">
        <f t="shared" si="91"/>
        <v>1141003.9202416858</v>
      </c>
      <c r="D235" s="473">
        <f t="shared" si="91"/>
        <v>0</v>
      </c>
      <c r="E235" s="474">
        <f t="shared" si="91"/>
        <v>1574749.9970006554</v>
      </c>
      <c r="F235" s="473">
        <f t="shared" si="91"/>
        <v>0</v>
      </c>
      <c r="G235" s="474">
        <f t="shared" si="91"/>
        <v>1699914.0801784445</v>
      </c>
      <c r="H235" s="473">
        <v>0</v>
      </c>
      <c r="I235" s="474">
        <v>1779303.25</v>
      </c>
      <c r="J235" s="473">
        <v>0</v>
      </c>
      <c r="K235" s="474">
        <v>1885672.8099999998</v>
      </c>
      <c r="L235" s="435"/>
      <c r="M235" s="473">
        <f>IFERROR(H235-S235,"")</f>
        <v>0</v>
      </c>
      <c r="N235" s="474">
        <f>IFERROR(I235-T235,"")</f>
        <v>0</v>
      </c>
      <c r="O235" s="473">
        <f>IFERROR(J235-U235,"")</f>
        <v>0</v>
      </c>
      <c r="P235" s="474">
        <f>IFERROR(K235-V235,"")</f>
        <v>0</v>
      </c>
      <c r="R235" s="472" t="s">
        <v>205</v>
      </c>
      <c r="S235" s="473">
        <v>0</v>
      </c>
      <c r="T235" s="474">
        <v>1779303.25</v>
      </c>
      <c r="U235" s="473">
        <v>0</v>
      </c>
      <c r="V235" s="474">
        <v>1885672.8099999998</v>
      </c>
    </row>
    <row r="236" spans="1:22" ht="12" thickTop="1" x14ac:dyDescent="0.2">
      <c r="A236" s="475"/>
      <c r="B236" s="477"/>
      <c r="C236" s="476"/>
      <c r="D236" s="477"/>
      <c r="E236" s="476"/>
      <c r="F236" s="477"/>
      <c r="G236" s="476"/>
      <c r="H236" s="477"/>
      <c r="I236" s="476"/>
      <c r="J236" s="477"/>
      <c r="K236" s="476"/>
      <c r="L236" s="435"/>
      <c r="M236" s="477"/>
      <c r="N236" s="476"/>
      <c r="O236" s="477"/>
      <c r="P236" s="476"/>
      <c r="R236" s="475"/>
      <c r="S236" s="477"/>
      <c r="T236" s="476"/>
      <c r="U236" s="477"/>
      <c r="V236" s="476"/>
    </row>
    <row r="237" spans="1:22" ht="12.75" customHeight="1" x14ac:dyDescent="0.2">
      <c r="A237" s="495"/>
      <c r="B237" s="477"/>
      <c r="C237" s="476"/>
      <c r="D237" s="477"/>
      <c r="E237" s="476"/>
      <c r="F237" s="477"/>
      <c r="G237" s="476"/>
      <c r="H237" s="477"/>
      <c r="I237" s="476"/>
      <c r="J237" s="477"/>
      <c r="K237" s="476"/>
      <c r="L237" s="435"/>
      <c r="M237" s="477"/>
      <c r="N237" s="476"/>
      <c r="O237" s="477"/>
      <c r="P237" s="476"/>
      <c r="R237" s="495"/>
      <c r="S237" s="477"/>
      <c r="T237" s="476"/>
      <c r="U237" s="477"/>
      <c r="V237" s="476"/>
    </row>
    <row r="238" spans="1:22" ht="12.75" x14ac:dyDescent="0.2">
      <c r="A238" s="1547" t="s">
        <v>256</v>
      </c>
      <c r="B238" s="489"/>
      <c r="C238" s="488"/>
      <c r="D238" s="489"/>
      <c r="E238" s="488"/>
      <c r="F238" s="489"/>
      <c r="G238" s="488"/>
      <c r="H238" s="489"/>
      <c r="I238" s="488"/>
      <c r="J238" s="489"/>
      <c r="K238" s="488"/>
      <c r="L238" s="435" t="s">
        <v>143</v>
      </c>
      <c r="M238" s="489"/>
      <c r="N238" s="488"/>
      <c r="O238" s="489"/>
      <c r="P238" s="488"/>
      <c r="R238" s="1547" t="s">
        <v>256</v>
      </c>
      <c r="S238" s="489"/>
      <c r="T238" s="488"/>
      <c r="U238" s="489"/>
      <c r="V238" s="488"/>
    </row>
    <row r="239" spans="1:22" ht="11.25" customHeight="1" x14ac:dyDescent="0.2">
      <c r="A239" s="1548"/>
      <c r="B239" s="491"/>
      <c r="C239" s="490"/>
      <c r="D239" s="491"/>
      <c r="E239" s="490"/>
      <c r="F239" s="491"/>
      <c r="G239" s="490"/>
      <c r="H239" s="491"/>
      <c r="I239" s="490"/>
      <c r="J239" s="491"/>
      <c r="K239" s="490"/>
      <c r="L239" s="435"/>
      <c r="M239" s="491"/>
      <c r="N239" s="490"/>
      <c r="O239" s="491"/>
      <c r="P239" s="490"/>
      <c r="R239" s="1548"/>
      <c r="S239" s="491"/>
      <c r="T239" s="490"/>
      <c r="U239" s="491"/>
      <c r="V239" s="490"/>
    </row>
    <row r="240" spans="1:22" x14ac:dyDescent="0.2">
      <c r="A240" s="454" t="s">
        <v>300</v>
      </c>
      <c r="B240" s="487"/>
      <c r="C240" s="486"/>
      <c r="D240" s="487"/>
      <c r="E240" s="486"/>
      <c r="F240" s="487"/>
      <c r="G240" s="486"/>
      <c r="H240" s="487"/>
      <c r="I240" s="486"/>
      <c r="J240" s="487"/>
      <c r="K240" s="486"/>
      <c r="L240" s="435"/>
      <c r="M240" s="487"/>
      <c r="N240" s="486"/>
      <c r="O240" s="487"/>
      <c r="P240" s="486"/>
      <c r="R240" s="454" t="s">
        <v>300</v>
      </c>
      <c r="S240" s="487"/>
      <c r="T240" s="486"/>
      <c r="U240" s="487"/>
      <c r="V240" s="486"/>
    </row>
    <row r="241" spans="1:22" x14ac:dyDescent="0.2">
      <c r="A241" s="455" t="s">
        <v>301</v>
      </c>
      <c r="B241" s="456">
        <v>10.5</v>
      </c>
      <c r="C241" s="457">
        <f>SUM(C256,C271,C286,C301)</f>
        <v>909379.06207737804</v>
      </c>
      <c r="D241" s="456">
        <v>9.9999999999999982</v>
      </c>
      <c r="E241" s="457">
        <f t="shared" ref="E241:E250" si="92">SUM(E256,E271,E286,E301)</f>
        <v>807447.95389610645</v>
      </c>
      <c r="F241" s="456">
        <v>10.333333333333334</v>
      </c>
      <c r="G241" s="457">
        <f t="shared" ref="G241:G250" si="93">SUM(G256,G271,G286,G301)</f>
        <v>869894.04748723574</v>
      </c>
      <c r="H241" s="456">
        <v>13</v>
      </c>
      <c r="I241" s="457">
        <v>1133565.4900000002</v>
      </c>
      <c r="J241" s="456">
        <v>13</v>
      </c>
      <c r="K241" s="457">
        <f>1306018.56-101250</f>
        <v>1204768.56</v>
      </c>
      <c r="L241" s="435"/>
      <c r="M241" s="456">
        <f t="shared" ref="M241:M250" si="94">IFERROR(H241-S241,"")</f>
        <v>0</v>
      </c>
      <c r="N241" s="457">
        <f t="shared" ref="N241:N250" si="95">IFERROR(I241-T241,"")</f>
        <v>0</v>
      </c>
      <c r="O241" s="456">
        <f t="shared" ref="O241:O250" si="96">IFERROR(J241-U241,"")</f>
        <v>0</v>
      </c>
      <c r="P241" s="457">
        <f t="shared" ref="P241:P250" si="97">IFERROR(K241-V241,"")</f>
        <v>0</v>
      </c>
      <c r="R241" s="455" t="s">
        <v>301</v>
      </c>
      <c r="S241" s="456">
        <v>13</v>
      </c>
      <c r="T241" s="457">
        <v>1133565.4900000002</v>
      </c>
      <c r="U241" s="456">
        <v>13</v>
      </c>
      <c r="V241" s="457">
        <v>1204768.56</v>
      </c>
    </row>
    <row r="242" spans="1:22" x14ac:dyDescent="0.2">
      <c r="A242" s="465" t="s">
        <v>302</v>
      </c>
      <c r="B242" s="461">
        <v>0</v>
      </c>
      <c r="C242" s="462">
        <f t="shared" ref="C242:C250" si="98">SUM(C257,C272,C287,C302)</f>
        <v>0</v>
      </c>
      <c r="D242" s="461">
        <v>0.5</v>
      </c>
      <c r="E242" s="462">
        <f t="shared" si="92"/>
        <v>24339.922373791134</v>
      </c>
      <c r="F242" s="461">
        <v>1</v>
      </c>
      <c r="G242" s="462">
        <f t="shared" si="93"/>
        <v>52266.740746517266</v>
      </c>
      <c r="H242" s="461">
        <v>1</v>
      </c>
      <c r="I242" s="462">
        <v>54829.06</v>
      </c>
      <c r="J242" s="461">
        <v>1</v>
      </c>
      <c r="K242" s="462">
        <v>56479.66</v>
      </c>
      <c r="L242" s="435"/>
      <c r="M242" s="461">
        <f t="shared" si="94"/>
        <v>0</v>
      </c>
      <c r="N242" s="462">
        <f t="shared" si="95"/>
        <v>0</v>
      </c>
      <c r="O242" s="461">
        <f t="shared" si="96"/>
        <v>0</v>
      </c>
      <c r="P242" s="462">
        <f t="shared" si="97"/>
        <v>0</v>
      </c>
      <c r="R242" s="465" t="s">
        <v>302</v>
      </c>
      <c r="S242" s="461">
        <v>1</v>
      </c>
      <c r="T242" s="462">
        <v>54829.06</v>
      </c>
      <c r="U242" s="461">
        <v>1</v>
      </c>
      <c r="V242" s="462">
        <v>56479.66</v>
      </c>
    </row>
    <row r="243" spans="1:22" x14ac:dyDescent="0.2">
      <c r="A243" s="460" t="s">
        <v>303</v>
      </c>
      <c r="B243" s="461">
        <v>3</v>
      </c>
      <c r="C243" s="462">
        <f t="shared" si="98"/>
        <v>265960.27983158064</v>
      </c>
      <c r="D243" s="461">
        <v>3</v>
      </c>
      <c r="E243" s="462">
        <f t="shared" si="92"/>
        <v>275331.58924952411</v>
      </c>
      <c r="F243" s="461">
        <v>3</v>
      </c>
      <c r="G243" s="462">
        <f t="shared" si="93"/>
        <v>285838.790168654</v>
      </c>
      <c r="H243" s="461">
        <v>3</v>
      </c>
      <c r="I243" s="462">
        <v>279239.78999999998</v>
      </c>
      <c r="J243" s="461">
        <v>3</v>
      </c>
      <c r="K243" s="462">
        <v>290442.13</v>
      </c>
      <c r="L243" s="435"/>
      <c r="M243" s="461">
        <f t="shared" si="94"/>
        <v>0</v>
      </c>
      <c r="N243" s="462">
        <f t="shared" si="95"/>
        <v>0</v>
      </c>
      <c r="O243" s="461">
        <f t="shared" si="96"/>
        <v>0</v>
      </c>
      <c r="P243" s="462">
        <f t="shared" si="97"/>
        <v>0</v>
      </c>
      <c r="R243" s="460" t="s">
        <v>303</v>
      </c>
      <c r="S243" s="461">
        <v>3</v>
      </c>
      <c r="T243" s="462">
        <v>279239.78999999998</v>
      </c>
      <c r="U243" s="461">
        <v>3</v>
      </c>
      <c r="V243" s="462">
        <v>290442.13</v>
      </c>
    </row>
    <row r="244" spans="1:22" x14ac:dyDescent="0.2">
      <c r="A244" s="465" t="s">
        <v>304</v>
      </c>
      <c r="B244" s="461">
        <v>2</v>
      </c>
      <c r="C244" s="462">
        <f t="shared" si="98"/>
        <v>270721.92538561247</v>
      </c>
      <c r="D244" s="461">
        <v>2</v>
      </c>
      <c r="E244" s="462">
        <f t="shared" si="92"/>
        <v>277831.75561672391</v>
      </c>
      <c r="F244" s="461">
        <v>2</v>
      </c>
      <c r="G244" s="462">
        <f t="shared" si="93"/>
        <v>293593.13870100852</v>
      </c>
      <c r="H244" s="461">
        <v>2</v>
      </c>
      <c r="I244" s="462">
        <v>301847.61</v>
      </c>
      <c r="J244" s="461">
        <v>2</v>
      </c>
      <c r="K244" s="462">
        <v>310828.90000000008</v>
      </c>
      <c r="L244" s="435"/>
      <c r="M244" s="461">
        <f t="shared" si="94"/>
        <v>0</v>
      </c>
      <c r="N244" s="462">
        <f t="shared" si="95"/>
        <v>0</v>
      </c>
      <c r="O244" s="461">
        <f t="shared" si="96"/>
        <v>0</v>
      </c>
      <c r="P244" s="462">
        <f t="shared" si="97"/>
        <v>0</v>
      </c>
      <c r="R244" s="465" t="s">
        <v>304</v>
      </c>
      <c r="S244" s="461">
        <v>2</v>
      </c>
      <c r="T244" s="462">
        <v>301847.61</v>
      </c>
      <c r="U244" s="461">
        <v>2</v>
      </c>
      <c r="V244" s="462">
        <v>310828.90000000008</v>
      </c>
    </row>
    <row r="245" spans="1:22" x14ac:dyDescent="0.2">
      <c r="A245" s="465" t="s">
        <v>305</v>
      </c>
      <c r="B245" s="461">
        <v>26</v>
      </c>
      <c r="C245" s="462">
        <f t="shared" si="98"/>
        <v>2729298.3569923583</v>
      </c>
      <c r="D245" s="461">
        <v>26</v>
      </c>
      <c r="E245" s="462">
        <f t="shared" si="92"/>
        <v>2976319.9399602911</v>
      </c>
      <c r="F245" s="461">
        <v>26</v>
      </c>
      <c r="G245" s="462">
        <f t="shared" si="93"/>
        <v>2994312.2450665152</v>
      </c>
      <c r="H245" s="461">
        <v>26</v>
      </c>
      <c r="I245" s="462">
        <v>2930620.4</v>
      </c>
      <c r="J245" s="461">
        <v>26</v>
      </c>
      <c r="K245" s="462">
        <v>3034249.74</v>
      </c>
      <c r="L245" s="435"/>
      <c r="M245" s="461">
        <f t="shared" si="94"/>
        <v>0</v>
      </c>
      <c r="N245" s="462">
        <f t="shared" si="95"/>
        <v>0</v>
      </c>
      <c r="O245" s="461">
        <f t="shared" si="96"/>
        <v>0</v>
      </c>
      <c r="P245" s="462">
        <f t="shared" si="97"/>
        <v>0</v>
      </c>
      <c r="R245" s="465" t="s">
        <v>305</v>
      </c>
      <c r="S245" s="461">
        <v>26</v>
      </c>
      <c r="T245" s="462">
        <v>2930620.4</v>
      </c>
      <c r="U245" s="461">
        <v>26</v>
      </c>
      <c r="V245" s="462">
        <v>3034249.74</v>
      </c>
    </row>
    <row r="246" spans="1:22" x14ac:dyDescent="0.2">
      <c r="A246" s="465" t="s">
        <v>306</v>
      </c>
      <c r="B246" s="461">
        <v>16</v>
      </c>
      <c r="C246" s="462">
        <f t="shared" si="98"/>
        <v>1510160.0922082535</v>
      </c>
      <c r="D246" s="461">
        <v>16</v>
      </c>
      <c r="E246" s="462">
        <f t="shared" si="92"/>
        <v>1671158.7336688912</v>
      </c>
      <c r="F246" s="461">
        <v>15.833333333333332</v>
      </c>
      <c r="G246" s="462">
        <f t="shared" si="93"/>
        <v>1790524.9740904248</v>
      </c>
      <c r="H246" s="461">
        <v>20</v>
      </c>
      <c r="I246" s="462">
        <v>2087942.87</v>
      </c>
      <c r="J246" s="461">
        <v>21</v>
      </c>
      <c r="K246" s="462">
        <v>2276253.5099999998</v>
      </c>
      <c r="L246" s="435"/>
      <c r="M246" s="461">
        <f t="shared" si="94"/>
        <v>0</v>
      </c>
      <c r="N246" s="462">
        <f t="shared" si="95"/>
        <v>0</v>
      </c>
      <c r="O246" s="461">
        <f t="shared" si="96"/>
        <v>0</v>
      </c>
      <c r="P246" s="462">
        <f t="shared" si="97"/>
        <v>0</v>
      </c>
      <c r="R246" s="465" t="s">
        <v>306</v>
      </c>
      <c r="S246" s="461">
        <v>20</v>
      </c>
      <c r="T246" s="462">
        <v>2087942.87</v>
      </c>
      <c r="U246" s="461">
        <v>21</v>
      </c>
      <c r="V246" s="462">
        <v>2276253.5099999998</v>
      </c>
    </row>
    <row r="247" spans="1:22" x14ac:dyDescent="0.2">
      <c r="A247" s="465" t="s">
        <v>307</v>
      </c>
      <c r="B247" s="461">
        <v>89.583333333333329</v>
      </c>
      <c r="C247" s="462">
        <f t="shared" si="98"/>
        <v>4526054.2783434475</v>
      </c>
      <c r="D247" s="461">
        <v>87.666666666666657</v>
      </c>
      <c r="E247" s="462">
        <f t="shared" si="92"/>
        <v>4863134.5878881356</v>
      </c>
      <c r="F247" s="461">
        <v>87.75</v>
      </c>
      <c r="G247" s="462">
        <f t="shared" si="93"/>
        <v>4998240.1510789497</v>
      </c>
      <c r="H247" s="461">
        <v>92</v>
      </c>
      <c r="I247" s="462">
        <v>5343502.0299999993</v>
      </c>
      <c r="J247" s="461">
        <v>96</v>
      </c>
      <c r="K247" s="462">
        <v>5955582.0399999991</v>
      </c>
      <c r="L247" s="435"/>
      <c r="M247" s="461">
        <f t="shared" si="94"/>
        <v>0</v>
      </c>
      <c r="N247" s="462">
        <f t="shared" si="95"/>
        <v>0</v>
      </c>
      <c r="O247" s="461">
        <f t="shared" si="96"/>
        <v>0</v>
      </c>
      <c r="P247" s="462">
        <f t="shared" si="97"/>
        <v>0</v>
      </c>
      <c r="R247" s="465" t="s">
        <v>307</v>
      </c>
      <c r="S247" s="461">
        <v>92</v>
      </c>
      <c r="T247" s="462">
        <v>5343502.0299999993</v>
      </c>
      <c r="U247" s="461">
        <v>96</v>
      </c>
      <c r="V247" s="462">
        <v>5955582.0399999991</v>
      </c>
    </row>
    <row r="248" spans="1:22" x14ac:dyDescent="0.2">
      <c r="A248" s="465" t="s">
        <v>308</v>
      </c>
      <c r="B248" s="461">
        <v>0</v>
      </c>
      <c r="C248" s="462">
        <f t="shared" si="98"/>
        <v>0</v>
      </c>
      <c r="D248" s="461">
        <v>0</v>
      </c>
      <c r="E248" s="462">
        <f t="shared" si="92"/>
        <v>0</v>
      </c>
      <c r="F248" s="461">
        <v>0.16666666666666666</v>
      </c>
      <c r="G248" s="462">
        <f t="shared" si="93"/>
        <v>0</v>
      </c>
      <c r="H248" s="461">
        <v>0</v>
      </c>
      <c r="I248" s="462">
        <v>0</v>
      </c>
      <c r="J248" s="461">
        <v>0</v>
      </c>
      <c r="K248" s="462">
        <v>0</v>
      </c>
      <c r="L248" s="435"/>
      <c r="M248" s="461">
        <f t="shared" si="94"/>
        <v>0</v>
      </c>
      <c r="N248" s="462">
        <f t="shared" si="95"/>
        <v>0</v>
      </c>
      <c r="O248" s="461">
        <f t="shared" si="96"/>
        <v>0</v>
      </c>
      <c r="P248" s="462">
        <f t="shared" si="97"/>
        <v>0</v>
      </c>
      <c r="R248" s="465" t="s">
        <v>308</v>
      </c>
      <c r="S248" s="461">
        <v>0</v>
      </c>
      <c r="T248" s="462">
        <v>0</v>
      </c>
      <c r="U248" s="461">
        <v>0</v>
      </c>
      <c r="V248" s="462">
        <v>0</v>
      </c>
    </row>
    <row r="249" spans="1:22" x14ac:dyDescent="0.2">
      <c r="A249" s="465" t="s">
        <v>309</v>
      </c>
      <c r="B249" s="461">
        <v>18</v>
      </c>
      <c r="C249" s="462">
        <f t="shared" si="98"/>
        <v>1080619.8163385752</v>
      </c>
      <c r="D249" s="461">
        <v>18</v>
      </c>
      <c r="E249" s="462">
        <f t="shared" si="92"/>
        <v>939671.54552602244</v>
      </c>
      <c r="F249" s="461">
        <v>16.916666666666664</v>
      </c>
      <c r="G249" s="462">
        <f t="shared" si="93"/>
        <v>843702.42767248361</v>
      </c>
      <c r="H249" s="461">
        <v>14</v>
      </c>
      <c r="I249" s="462">
        <v>783068.59000000008</v>
      </c>
      <c r="J249" s="461">
        <v>14</v>
      </c>
      <c r="K249" s="462">
        <v>822142.44000000018</v>
      </c>
      <c r="L249" s="435"/>
      <c r="M249" s="461">
        <f t="shared" si="94"/>
        <v>0</v>
      </c>
      <c r="N249" s="462">
        <f t="shared" si="95"/>
        <v>0</v>
      </c>
      <c r="O249" s="461">
        <f t="shared" si="96"/>
        <v>0</v>
      </c>
      <c r="P249" s="462">
        <f t="shared" si="97"/>
        <v>0</v>
      </c>
      <c r="R249" s="465" t="s">
        <v>309</v>
      </c>
      <c r="S249" s="461">
        <v>14</v>
      </c>
      <c r="T249" s="462">
        <v>783068.59000000008</v>
      </c>
      <c r="U249" s="461">
        <v>14</v>
      </c>
      <c r="V249" s="462">
        <v>822142.44000000018</v>
      </c>
    </row>
    <row r="250" spans="1:22" x14ac:dyDescent="0.2">
      <c r="A250" s="466" t="s">
        <v>310</v>
      </c>
      <c r="B250" s="461">
        <v>3</v>
      </c>
      <c r="C250" s="462">
        <f t="shared" si="98"/>
        <v>342152.07785499323</v>
      </c>
      <c r="D250" s="461">
        <v>3</v>
      </c>
      <c r="E250" s="462">
        <f t="shared" si="92"/>
        <v>370418.89725533553</v>
      </c>
      <c r="F250" s="461">
        <v>2.5833333333333335</v>
      </c>
      <c r="G250" s="462">
        <f t="shared" si="93"/>
        <v>372954.93243891717</v>
      </c>
      <c r="H250" s="461">
        <v>3</v>
      </c>
      <c r="I250" s="492">
        <v>445297.95</v>
      </c>
      <c r="J250" s="461">
        <v>3</v>
      </c>
      <c r="K250" s="492">
        <v>459850.65999999992</v>
      </c>
      <c r="L250" s="435"/>
      <c r="M250" s="461">
        <f t="shared" si="94"/>
        <v>0</v>
      </c>
      <c r="N250" s="492">
        <f t="shared" si="95"/>
        <v>0</v>
      </c>
      <c r="O250" s="461">
        <f t="shared" si="96"/>
        <v>0</v>
      </c>
      <c r="P250" s="492">
        <f t="shared" si="97"/>
        <v>0</v>
      </c>
      <c r="R250" s="466" t="s">
        <v>310</v>
      </c>
      <c r="S250" s="461">
        <v>3</v>
      </c>
      <c r="T250" s="492">
        <v>445297.95</v>
      </c>
      <c r="U250" s="461">
        <v>3</v>
      </c>
      <c r="V250" s="492">
        <v>459850.65999999992</v>
      </c>
    </row>
    <row r="251" spans="1:22" ht="3" customHeight="1" x14ac:dyDescent="0.2">
      <c r="A251" s="469"/>
      <c r="B251" s="470"/>
      <c r="C251" s="471"/>
      <c r="D251" s="470"/>
      <c r="E251" s="471"/>
      <c r="F251" s="470"/>
      <c r="G251" s="471"/>
      <c r="H251" s="470"/>
      <c r="I251" s="471"/>
      <c r="J251" s="470"/>
      <c r="K251" s="471"/>
      <c r="L251" s="435"/>
      <c r="M251" s="470"/>
      <c r="N251" s="471"/>
      <c r="O251" s="470"/>
      <c r="P251" s="471"/>
      <c r="R251" s="469"/>
      <c r="S251" s="470"/>
      <c r="T251" s="471"/>
      <c r="U251" s="470"/>
      <c r="V251" s="471"/>
    </row>
    <row r="252" spans="1:22" ht="12" thickBot="1" x14ac:dyDescent="0.25">
      <c r="A252" s="472" t="s">
        <v>205</v>
      </c>
      <c r="B252" s="473">
        <f t="shared" ref="B252:G252" si="99">SUM(B241:B251)</f>
        <v>168.08333333333331</v>
      </c>
      <c r="C252" s="474">
        <f t="shared" si="99"/>
        <v>11634345.889032198</v>
      </c>
      <c r="D252" s="473">
        <f t="shared" si="99"/>
        <v>166.16666666666666</v>
      </c>
      <c r="E252" s="474">
        <f t="shared" si="99"/>
        <v>12205654.925434822</v>
      </c>
      <c r="F252" s="473">
        <f t="shared" si="99"/>
        <v>165.58333333333334</v>
      </c>
      <c r="G252" s="474">
        <f t="shared" si="99"/>
        <v>12501327.447450705</v>
      </c>
      <c r="H252" s="473">
        <v>174</v>
      </c>
      <c r="I252" s="474">
        <v>13359913.789999999</v>
      </c>
      <c r="J252" s="473">
        <v>179</v>
      </c>
      <c r="K252" s="474">
        <v>14410597.639999999</v>
      </c>
      <c r="L252" s="435"/>
      <c r="M252" s="473">
        <f>IFERROR(H252-S252,"")</f>
        <v>0</v>
      </c>
      <c r="N252" s="474">
        <f>IFERROR(I252-T252,"")</f>
        <v>0</v>
      </c>
      <c r="O252" s="473">
        <f>IFERROR(J252-U252,"")</f>
        <v>0</v>
      </c>
      <c r="P252" s="474">
        <f>IFERROR(K252-V252,"")</f>
        <v>0</v>
      </c>
      <c r="R252" s="472" t="s">
        <v>205</v>
      </c>
      <c r="S252" s="473">
        <v>174</v>
      </c>
      <c r="T252" s="474">
        <v>13359913.789999999</v>
      </c>
      <c r="U252" s="473">
        <v>179</v>
      </c>
      <c r="V252" s="474">
        <v>14410597.639999999</v>
      </c>
    </row>
    <row r="253" spans="1:22" ht="12" thickTop="1" x14ac:dyDescent="0.2">
      <c r="A253" s="475"/>
      <c r="B253" s="477"/>
      <c r="C253" s="476"/>
      <c r="D253" s="477"/>
      <c r="E253" s="476"/>
      <c r="F253" s="477"/>
      <c r="G253" s="476"/>
      <c r="H253" s="477"/>
      <c r="I253" s="476"/>
      <c r="J253" s="477"/>
      <c r="K253" s="476"/>
      <c r="L253" s="435"/>
      <c r="M253" s="477"/>
      <c r="N253" s="476"/>
      <c r="O253" s="477"/>
      <c r="P253" s="476"/>
      <c r="R253" s="475"/>
      <c r="S253" s="477"/>
      <c r="T253" s="476"/>
      <c r="U253" s="477"/>
      <c r="V253" s="476"/>
    </row>
    <row r="254" spans="1:22" x14ac:dyDescent="0.2">
      <c r="A254" s="476"/>
      <c r="B254" s="477"/>
      <c r="C254" s="476"/>
      <c r="D254" s="477"/>
      <c r="E254" s="476"/>
      <c r="F254" s="477"/>
      <c r="G254" s="476"/>
      <c r="H254" s="477"/>
      <c r="I254" s="476"/>
      <c r="J254" s="477"/>
      <c r="K254" s="476"/>
      <c r="L254" s="435"/>
      <c r="M254" s="477"/>
      <c r="N254" s="476"/>
      <c r="O254" s="477"/>
      <c r="P254" s="476"/>
      <c r="R254" s="476"/>
      <c r="S254" s="477"/>
      <c r="T254" s="476"/>
      <c r="U254" s="477"/>
      <c r="V254" s="476"/>
    </row>
    <row r="255" spans="1:22" x14ac:dyDescent="0.2">
      <c r="A255" s="480" t="s">
        <v>311</v>
      </c>
      <c r="B255" s="482"/>
      <c r="C255" s="481"/>
      <c r="D255" s="482"/>
      <c r="E255" s="481"/>
      <c r="F255" s="482"/>
      <c r="G255" s="481"/>
      <c r="H255" s="482"/>
      <c r="I255" s="481"/>
      <c r="J255" s="482"/>
      <c r="K255" s="481"/>
      <c r="L255" s="435"/>
      <c r="M255" s="482"/>
      <c r="N255" s="481"/>
      <c r="O255" s="482"/>
      <c r="P255" s="481"/>
      <c r="R255" s="480" t="s">
        <v>311</v>
      </c>
      <c r="S255" s="482"/>
      <c r="T255" s="481"/>
      <c r="U255" s="482"/>
      <c r="V255" s="481"/>
    </row>
    <row r="256" spans="1:22" x14ac:dyDescent="0.2">
      <c r="A256" s="455" t="s">
        <v>301</v>
      </c>
      <c r="B256" s="456">
        <v>10.5</v>
      </c>
      <c r="C256" s="457">
        <v>782165.03095365607</v>
      </c>
      <c r="D256" s="456">
        <v>9.9999999999999982</v>
      </c>
      <c r="E256" s="457">
        <v>709015.10014236683</v>
      </c>
      <c r="F256" s="456">
        <v>10.333333333333334</v>
      </c>
      <c r="G256" s="457">
        <v>778201.41538325488</v>
      </c>
      <c r="H256" s="456">
        <v>13</v>
      </c>
      <c r="I256" s="457">
        <v>988781.12000000011</v>
      </c>
      <c r="J256" s="456">
        <v>13</v>
      </c>
      <c r="K256" s="457">
        <f>1133666.34-101250</f>
        <v>1032416.3400000001</v>
      </c>
      <c r="L256" s="435"/>
      <c r="M256" s="456">
        <f t="shared" ref="M256:M265" si="100">IFERROR(H256-S256,"")</f>
        <v>0</v>
      </c>
      <c r="N256" s="457">
        <f t="shared" ref="N256:N265" si="101">IFERROR(I256-T256,"")</f>
        <v>0</v>
      </c>
      <c r="O256" s="456">
        <f t="shared" ref="O256:O265" si="102">IFERROR(J256-U256,"")</f>
        <v>0</v>
      </c>
      <c r="P256" s="457">
        <f t="shared" ref="P256:P265" si="103">IFERROR(K256-V256,"")</f>
        <v>0</v>
      </c>
      <c r="R256" s="455" t="s">
        <v>301</v>
      </c>
      <c r="S256" s="456">
        <v>13</v>
      </c>
      <c r="T256" s="457">
        <v>988781.12000000011</v>
      </c>
      <c r="U256" s="456">
        <v>13</v>
      </c>
      <c r="V256" s="457">
        <v>1032416.3400000001</v>
      </c>
    </row>
    <row r="257" spans="1:22" x14ac:dyDescent="0.2">
      <c r="A257" s="465" t="s">
        <v>302</v>
      </c>
      <c r="B257" s="461">
        <v>0</v>
      </c>
      <c r="C257" s="462">
        <v>0</v>
      </c>
      <c r="D257" s="461">
        <v>0.5</v>
      </c>
      <c r="E257" s="462">
        <v>21043.567640604531</v>
      </c>
      <c r="F257" s="461">
        <v>1</v>
      </c>
      <c r="G257" s="462">
        <v>36660.198843785009</v>
      </c>
      <c r="H257" s="461">
        <v>1</v>
      </c>
      <c r="I257" s="462">
        <v>31049.87999999999</v>
      </c>
      <c r="J257" s="461">
        <v>1</v>
      </c>
      <c r="K257" s="462">
        <v>31280.6</v>
      </c>
      <c r="L257" s="435"/>
      <c r="M257" s="461">
        <f t="shared" si="100"/>
        <v>0</v>
      </c>
      <c r="N257" s="462">
        <f t="shared" si="101"/>
        <v>0</v>
      </c>
      <c r="O257" s="461">
        <f t="shared" si="102"/>
        <v>0</v>
      </c>
      <c r="P257" s="462">
        <f t="shared" si="103"/>
        <v>0</v>
      </c>
      <c r="R257" s="465" t="s">
        <v>302</v>
      </c>
      <c r="S257" s="461">
        <v>1</v>
      </c>
      <c r="T257" s="462">
        <v>31049.87999999999</v>
      </c>
      <c r="U257" s="461">
        <v>1</v>
      </c>
      <c r="V257" s="462">
        <v>31280.6</v>
      </c>
    </row>
    <row r="258" spans="1:22" x14ac:dyDescent="0.2">
      <c r="A258" s="460" t="s">
        <v>303</v>
      </c>
      <c r="B258" s="461">
        <v>2.6341666666666668</v>
      </c>
      <c r="C258" s="462">
        <v>199567.22330431684</v>
      </c>
      <c r="D258" s="461">
        <v>2.4233333333333333</v>
      </c>
      <c r="E258" s="462">
        <v>191550.7186711237</v>
      </c>
      <c r="F258" s="461">
        <v>2.5558333333333336</v>
      </c>
      <c r="G258" s="462">
        <v>203737.03115135623</v>
      </c>
      <c r="H258" s="461">
        <v>2.4</v>
      </c>
      <c r="I258" s="462">
        <v>191286.78999999998</v>
      </c>
      <c r="J258" s="461">
        <v>2.4</v>
      </c>
      <c r="K258" s="462">
        <v>197653.97999999998</v>
      </c>
      <c r="L258" s="435"/>
      <c r="M258" s="461">
        <f t="shared" si="100"/>
        <v>0</v>
      </c>
      <c r="N258" s="462">
        <f t="shared" si="101"/>
        <v>0</v>
      </c>
      <c r="O258" s="461">
        <f t="shared" si="102"/>
        <v>0</v>
      </c>
      <c r="P258" s="462">
        <f t="shared" si="103"/>
        <v>0</v>
      </c>
      <c r="R258" s="460" t="s">
        <v>303</v>
      </c>
      <c r="S258" s="461">
        <v>2.4</v>
      </c>
      <c r="T258" s="462">
        <v>191286.78999999998</v>
      </c>
      <c r="U258" s="461">
        <v>2.4</v>
      </c>
      <c r="V258" s="462">
        <v>197653.97999999998</v>
      </c>
    </row>
    <row r="259" spans="1:22" x14ac:dyDescent="0.2">
      <c r="A259" s="465" t="s">
        <v>304</v>
      </c>
      <c r="B259" s="461">
        <v>3.063333333333333</v>
      </c>
      <c r="C259" s="462">
        <v>176850.11440516086</v>
      </c>
      <c r="D259" s="461">
        <v>3.3491666666666662</v>
      </c>
      <c r="E259" s="462">
        <v>179674.88526085758</v>
      </c>
      <c r="F259" s="461">
        <v>4.0991666666666671</v>
      </c>
      <c r="G259" s="462">
        <v>183323.73092094189</v>
      </c>
      <c r="H259" s="461">
        <v>2</v>
      </c>
      <c r="I259" s="462">
        <v>185805.65999999997</v>
      </c>
      <c r="J259" s="461">
        <v>2</v>
      </c>
      <c r="K259" s="462">
        <v>191361.02000000005</v>
      </c>
      <c r="L259" s="435"/>
      <c r="M259" s="461">
        <f t="shared" si="100"/>
        <v>0</v>
      </c>
      <c r="N259" s="462">
        <f t="shared" si="101"/>
        <v>0</v>
      </c>
      <c r="O259" s="461">
        <f t="shared" si="102"/>
        <v>0</v>
      </c>
      <c r="P259" s="462">
        <f t="shared" si="103"/>
        <v>0</v>
      </c>
      <c r="R259" s="465" t="s">
        <v>304</v>
      </c>
      <c r="S259" s="461">
        <v>2</v>
      </c>
      <c r="T259" s="462">
        <v>185805.65999999997</v>
      </c>
      <c r="U259" s="461">
        <v>2</v>
      </c>
      <c r="V259" s="462">
        <v>191361.02000000005</v>
      </c>
    </row>
    <row r="260" spans="1:22" x14ac:dyDescent="0.2">
      <c r="A260" s="465" t="s">
        <v>305</v>
      </c>
      <c r="B260" s="461">
        <v>24.075833333333332</v>
      </c>
      <c r="C260" s="462">
        <v>1696144.5201787942</v>
      </c>
      <c r="D260" s="461">
        <v>24.753333333333337</v>
      </c>
      <c r="E260" s="462">
        <v>1816235.9574940591</v>
      </c>
      <c r="F260" s="461">
        <v>24.411666666666669</v>
      </c>
      <c r="G260" s="462">
        <v>1815401.4260713658</v>
      </c>
      <c r="H260" s="461">
        <v>24</v>
      </c>
      <c r="I260" s="462">
        <v>1745441.7699999998</v>
      </c>
      <c r="J260" s="461">
        <v>24</v>
      </c>
      <c r="K260" s="462">
        <v>1804759.04</v>
      </c>
      <c r="L260" s="435"/>
      <c r="M260" s="461">
        <f t="shared" si="100"/>
        <v>0</v>
      </c>
      <c r="N260" s="462">
        <f t="shared" si="101"/>
        <v>0</v>
      </c>
      <c r="O260" s="461">
        <f t="shared" si="102"/>
        <v>0</v>
      </c>
      <c r="P260" s="462">
        <f t="shared" si="103"/>
        <v>0</v>
      </c>
      <c r="R260" s="465" t="s">
        <v>305</v>
      </c>
      <c r="S260" s="461">
        <v>24</v>
      </c>
      <c r="T260" s="462">
        <v>1745441.7699999998</v>
      </c>
      <c r="U260" s="461">
        <v>24</v>
      </c>
      <c r="V260" s="462">
        <v>1804759.04</v>
      </c>
    </row>
    <row r="261" spans="1:22" x14ac:dyDescent="0.2">
      <c r="A261" s="465" t="s">
        <v>306</v>
      </c>
      <c r="B261" s="461">
        <v>12.414166666666667</v>
      </c>
      <c r="C261" s="462">
        <v>963296.01150893804</v>
      </c>
      <c r="D261" s="461">
        <v>10.66</v>
      </c>
      <c r="E261" s="462">
        <v>979080.56766241719</v>
      </c>
      <c r="F261" s="461">
        <v>10.622500000000002</v>
      </c>
      <c r="G261" s="462">
        <v>1002653.9092164962</v>
      </c>
      <c r="H261" s="461">
        <v>13.559999999999999</v>
      </c>
      <c r="I261" s="462">
        <v>1216077.33</v>
      </c>
      <c r="J261" s="461">
        <v>14.559999999999999</v>
      </c>
      <c r="K261" s="462">
        <v>1358371.8699999999</v>
      </c>
      <c r="L261" s="435"/>
      <c r="M261" s="461">
        <f t="shared" si="100"/>
        <v>0</v>
      </c>
      <c r="N261" s="462">
        <f t="shared" si="101"/>
        <v>0</v>
      </c>
      <c r="O261" s="461">
        <f t="shared" si="102"/>
        <v>0</v>
      </c>
      <c r="P261" s="462">
        <f t="shared" si="103"/>
        <v>0</v>
      </c>
      <c r="R261" s="465" t="s">
        <v>306</v>
      </c>
      <c r="S261" s="461">
        <v>13.559999999999999</v>
      </c>
      <c r="T261" s="462">
        <v>1216077.33</v>
      </c>
      <c r="U261" s="461">
        <v>14.559999999999999</v>
      </c>
      <c r="V261" s="462">
        <v>1358371.8699999999</v>
      </c>
    </row>
    <row r="262" spans="1:22" x14ac:dyDescent="0.2">
      <c r="A262" s="465" t="s">
        <v>307</v>
      </c>
      <c r="B262" s="461">
        <v>65.366666666666674</v>
      </c>
      <c r="C262" s="462">
        <v>3160682.1119417553</v>
      </c>
      <c r="D262" s="461">
        <v>65.44916666666667</v>
      </c>
      <c r="E262" s="462">
        <v>3307879.8922771425</v>
      </c>
      <c r="F262" s="461">
        <v>66.112500000000011</v>
      </c>
      <c r="G262" s="462">
        <v>3363069.1149863871</v>
      </c>
      <c r="H262" s="461">
        <v>69.64</v>
      </c>
      <c r="I262" s="462">
        <v>3605849.1199999996</v>
      </c>
      <c r="J262" s="461">
        <v>73.64</v>
      </c>
      <c r="K262" s="462">
        <v>4054624.0999999992</v>
      </c>
      <c r="L262" s="435"/>
      <c r="M262" s="461">
        <f t="shared" si="100"/>
        <v>0</v>
      </c>
      <c r="N262" s="462">
        <f t="shared" si="101"/>
        <v>0</v>
      </c>
      <c r="O262" s="461">
        <f t="shared" si="102"/>
        <v>0</v>
      </c>
      <c r="P262" s="462">
        <f t="shared" si="103"/>
        <v>0</v>
      </c>
      <c r="R262" s="465" t="s">
        <v>307</v>
      </c>
      <c r="S262" s="461">
        <v>69.64</v>
      </c>
      <c r="T262" s="462">
        <v>3605849.1199999996</v>
      </c>
      <c r="U262" s="461">
        <v>73.64</v>
      </c>
      <c r="V262" s="462">
        <v>4054624.0999999992</v>
      </c>
    </row>
    <row r="263" spans="1:22" x14ac:dyDescent="0.2">
      <c r="A263" s="465" t="s">
        <v>308</v>
      </c>
      <c r="B263" s="461">
        <v>0.875</v>
      </c>
      <c r="C263" s="462">
        <v>0</v>
      </c>
      <c r="D263" s="461">
        <v>1.9400000000000004</v>
      </c>
      <c r="E263" s="462">
        <v>0</v>
      </c>
      <c r="F263" s="461">
        <v>1.9924999999999999</v>
      </c>
      <c r="G263" s="462">
        <v>0</v>
      </c>
      <c r="H263" s="461">
        <v>0</v>
      </c>
      <c r="I263" s="462">
        <v>0</v>
      </c>
      <c r="J263" s="461">
        <v>0</v>
      </c>
      <c r="K263" s="462">
        <v>0</v>
      </c>
      <c r="L263" s="435"/>
      <c r="M263" s="461">
        <f t="shared" si="100"/>
        <v>0</v>
      </c>
      <c r="N263" s="462">
        <f t="shared" si="101"/>
        <v>0</v>
      </c>
      <c r="O263" s="461">
        <f t="shared" si="102"/>
        <v>0</v>
      </c>
      <c r="P263" s="462">
        <f t="shared" si="103"/>
        <v>0</v>
      </c>
      <c r="R263" s="465" t="s">
        <v>308</v>
      </c>
      <c r="S263" s="461">
        <v>0</v>
      </c>
      <c r="T263" s="462">
        <v>0</v>
      </c>
      <c r="U263" s="461">
        <v>0</v>
      </c>
      <c r="V263" s="462">
        <v>0</v>
      </c>
    </row>
    <row r="264" spans="1:22" x14ac:dyDescent="0.2">
      <c r="A264" s="465" t="s">
        <v>309</v>
      </c>
      <c r="B264" s="461">
        <v>14.009166666666665</v>
      </c>
      <c r="C264" s="462">
        <v>766614.95529004023</v>
      </c>
      <c r="D264" s="461">
        <v>11.311666666666666</v>
      </c>
      <c r="E264" s="462">
        <v>646343.93853312847</v>
      </c>
      <c r="F264" s="461">
        <v>9.5050000000000008</v>
      </c>
      <c r="G264" s="462">
        <v>571845.62318012642</v>
      </c>
      <c r="H264" s="461">
        <v>8.120000000000001</v>
      </c>
      <c r="I264" s="462">
        <v>466088.56000000006</v>
      </c>
      <c r="J264" s="461">
        <v>8.120000000000001</v>
      </c>
      <c r="K264" s="462">
        <v>489759.64999999997</v>
      </c>
      <c r="L264" s="435"/>
      <c r="M264" s="461">
        <f t="shared" si="100"/>
        <v>0</v>
      </c>
      <c r="N264" s="462">
        <f t="shared" si="101"/>
        <v>0</v>
      </c>
      <c r="O264" s="461">
        <f t="shared" si="102"/>
        <v>0</v>
      </c>
      <c r="P264" s="462">
        <f t="shared" si="103"/>
        <v>0</v>
      </c>
      <c r="R264" s="465" t="s">
        <v>309</v>
      </c>
      <c r="S264" s="461">
        <v>8.120000000000001</v>
      </c>
      <c r="T264" s="462">
        <v>466088.56000000006</v>
      </c>
      <c r="U264" s="461">
        <v>8.120000000000001</v>
      </c>
      <c r="V264" s="462">
        <v>489759.64999999997</v>
      </c>
    </row>
    <row r="265" spans="1:22" x14ac:dyDescent="0.2">
      <c r="A265" s="466" t="s">
        <v>310</v>
      </c>
      <c r="B265" s="461">
        <v>2.7208333333333332</v>
      </c>
      <c r="C265" s="462">
        <v>226633.11681266726</v>
      </c>
      <c r="D265" s="461">
        <v>2.8149999999999999</v>
      </c>
      <c r="E265" s="462">
        <v>250903.78871295418</v>
      </c>
      <c r="F265" s="461">
        <v>2.7491666666666661</v>
      </c>
      <c r="G265" s="462">
        <v>237747.09704792826</v>
      </c>
      <c r="H265" s="461">
        <v>2.7</v>
      </c>
      <c r="I265" s="492">
        <v>328488.21000000002</v>
      </c>
      <c r="J265" s="461">
        <v>2.7</v>
      </c>
      <c r="K265" s="492">
        <v>339308.62999999995</v>
      </c>
      <c r="L265" s="435"/>
      <c r="M265" s="461">
        <f t="shared" si="100"/>
        <v>0</v>
      </c>
      <c r="N265" s="492">
        <f t="shared" si="101"/>
        <v>0</v>
      </c>
      <c r="O265" s="461">
        <f t="shared" si="102"/>
        <v>0</v>
      </c>
      <c r="P265" s="492">
        <f t="shared" si="103"/>
        <v>0</v>
      </c>
      <c r="R265" s="466" t="s">
        <v>310</v>
      </c>
      <c r="S265" s="461">
        <v>2.7</v>
      </c>
      <c r="T265" s="492">
        <v>328488.21000000002</v>
      </c>
      <c r="U265" s="461">
        <v>2.7</v>
      </c>
      <c r="V265" s="492">
        <v>339308.62999999995</v>
      </c>
    </row>
    <row r="266" spans="1:22" ht="3" customHeight="1" x14ac:dyDescent="0.2">
      <c r="A266" s="469"/>
      <c r="B266" s="470"/>
      <c r="C266" s="471"/>
      <c r="D266" s="470"/>
      <c r="E266" s="471"/>
      <c r="F266" s="470"/>
      <c r="G266" s="471"/>
      <c r="H266" s="470"/>
      <c r="I266" s="471"/>
      <c r="J266" s="470"/>
      <c r="K266" s="471"/>
      <c r="L266" s="435"/>
      <c r="M266" s="470"/>
      <c r="N266" s="471"/>
      <c r="O266" s="470"/>
      <c r="P266" s="471"/>
      <c r="R266" s="469"/>
      <c r="S266" s="470"/>
      <c r="T266" s="471"/>
      <c r="U266" s="470"/>
      <c r="V266" s="471"/>
    </row>
    <row r="267" spans="1:22" ht="12" thickBot="1" x14ac:dyDescent="0.25">
      <c r="A267" s="472" t="s">
        <v>205</v>
      </c>
      <c r="B267" s="473">
        <f t="shared" ref="B267:G267" si="104">SUM(B256:B266)</f>
        <v>135.65916666666666</v>
      </c>
      <c r="C267" s="474">
        <f t="shared" si="104"/>
        <v>7971953.0843953285</v>
      </c>
      <c r="D267" s="473">
        <f t="shared" si="104"/>
        <v>133.20166666666665</v>
      </c>
      <c r="E267" s="474">
        <f t="shared" si="104"/>
        <v>8101728.4163946537</v>
      </c>
      <c r="F267" s="473">
        <f t="shared" si="104"/>
        <v>133.38166666666669</v>
      </c>
      <c r="G267" s="474">
        <f t="shared" si="104"/>
        <v>8192639.5468016416</v>
      </c>
      <c r="H267" s="473">
        <v>136.41999999999999</v>
      </c>
      <c r="I267" s="474">
        <v>8758868.4400000013</v>
      </c>
      <c r="J267" s="473">
        <v>141.41999999999999</v>
      </c>
      <c r="K267" s="474">
        <v>9499535.2300000004</v>
      </c>
      <c r="L267" s="435"/>
      <c r="M267" s="473">
        <f>IFERROR(H267-S267,"")</f>
        <v>0</v>
      </c>
      <c r="N267" s="474">
        <f>IFERROR(I267-T267,"")</f>
        <v>0</v>
      </c>
      <c r="O267" s="473">
        <f>IFERROR(J267-U267,"")</f>
        <v>0</v>
      </c>
      <c r="P267" s="474">
        <f>IFERROR(K267-V267,"")</f>
        <v>0</v>
      </c>
      <c r="R267" s="472" t="s">
        <v>205</v>
      </c>
      <c r="S267" s="473">
        <v>136.41999999999999</v>
      </c>
      <c r="T267" s="474">
        <v>8758868.4400000013</v>
      </c>
      <c r="U267" s="473">
        <v>141.41999999999999</v>
      </c>
      <c r="V267" s="474">
        <v>9499535.2300000004</v>
      </c>
    </row>
    <row r="268" spans="1:22" ht="12" thickTop="1" x14ac:dyDescent="0.2">
      <c r="A268" s="475"/>
      <c r="B268" s="477"/>
      <c r="C268" s="476"/>
      <c r="D268" s="477"/>
      <c r="E268" s="476"/>
      <c r="F268" s="477"/>
      <c r="G268" s="476"/>
      <c r="H268" s="477"/>
      <c r="I268" s="476"/>
      <c r="J268" s="477"/>
      <c r="K268" s="476"/>
      <c r="L268" s="435"/>
      <c r="M268" s="477"/>
      <c r="N268" s="476"/>
      <c r="O268" s="477"/>
      <c r="P268" s="476"/>
      <c r="R268" s="475"/>
      <c r="S268" s="477"/>
      <c r="T268" s="476"/>
      <c r="U268" s="477"/>
      <c r="V268" s="476"/>
    </row>
    <row r="269" spans="1:22" ht="12.75" x14ac:dyDescent="0.2">
      <c r="A269" s="476"/>
      <c r="B269" s="493"/>
      <c r="C269" s="483"/>
      <c r="D269" s="493"/>
      <c r="E269" s="483"/>
      <c r="F269" s="493"/>
      <c r="G269" s="483"/>
      <c r="H269" s="493"/>
      <c r="I269" s="494"/>
      <c r="J269" s="493"/>
      <c r="K269" s="494"/>
      <c r="L269" s="435"/>
      <c r="M269" s="493"/>
      <c r="N269" s="494"/>
      <c r="O269" s="493"/>
      <c r="P269" s="494"/>
      <c r="R269" s="476"/>
      <c r="S269" s="493"/>
      <c r="T269" s="494"/>
      <c r="U269" s="493"/>
      <c r="V269" s="494"/>
    </row>
    <row r="270" spans="1:22" x14ac:dyDescent="0.2">
      <c r="A270" s="485" t="s">
        <v>312</v>
      </c>
      <c r="B270" s="487"/>
      <c r="C270" s="486"/>
      <c r="D270" s="487"/>
      <c r="E270" s="486"/>
      <c r="F270" s="487"/>
      <c r="G270" s="486"/>
      <c r="H270" s="487"/>
      <c r="I270" s="486"/>
      <c r="J270" s="487"/>
      <c r="K270" s="486"/>
      <c r="L270" s="435"/>
      <c r="M270" s="487"/>
      <c r="N270" s="486"/>
      <c r="O270" s="487"/>
      <c r="P270" s="486"/>
      <c r="R270" s="485" t="s">
        <v>312</v>
      </c>
      <c r="S270" s="487"/>
      <c r="T270" s="486"/>
      <c r="U270" s="487"/>
      <c r="V270" s="486"/>
    </row>
    <row r="271" spans="1:22" x14ac:dyDescent="0.2">
      <c r="A271" s="455" t="s">
        <v>301</v>
      </c>
      <c r="B271" s="456">
        <v>0</v>
      </c>
      <c r="C271" s="457">
        <v>127214.03112372194</v>
      </c>
      <c r="D271" s="456">
        <v>0</v>
      </c>
      <c r="E271" s="457">
        <v>98432.853753739619</v>
      </c>
      <c r="F271" s="456">
        <v>0</v>
      </c>
      <c r="G271" s="457">
        <v>91692.632103980883</v>
      </c>
      <c r="H271" s="456">
        <v>0</v>
      </c>
      <c r="I271" s="457">
        <v>144784.37</v>
      </c>
      <c r="J271" s="456">
        <v>0</v>
      </c>
      <c r="K271" s="457">
        <v>172352.21999999997</v>
      </c>
      <c r="L271" s="435"/>
      <c r="M271" s="456">
        <f t="shared" ref="M271:M280" si="105">IFERROR(H271-S271,"")</f>
        <v>0</v>
      </c>
      <c r="N271" s="457">
        <f t="shared" ref="N271:N280" si="106">IFERROR(I271-T271,"")</f>
        <v>0</v>
      </c>
      <c r="O271" s="456">
        <f t="shared" ref="O271:O280" si="107">IFERROR(J271-U271,"")</f>
        <v>0</v>
      </c>
      <c r="P271" s="457">
        <f t="shared" ref="P271:P280" si="108">IFERROR(K271-V271,"")</f>
        <v>0</v>
      </c>
      <c r="R271" s="455" t="s">
        <v>301</v>
      </c>
      <c r="S271" s="456">
        <v>0</v>
      </c>
      <c r="T271" s="457">
        <v>144784.37</v>
      </c>
      <c r="U271" s="456">
        <v>0</v>
      </c>
      <c r="V271" s="457">
        <v>172352.21999999997</v>
      </c>
    </row>
    <row r="272" spans="1:22" x14ac:dyDescent="0.2">
      <c r="A272" s="465" t="s">
        <v>302</v>
      </c>
      <c r="B272" s="461">
        <v>0</v>
      </c>
      <c r="C272" s="462">
        <v>0</v>
      </c>
      <c r="D272" s="461">
        <v>0</v>
      </c>
      <c r="E272" s="462">
        <v>3249.8054037996835</v>
      </c>
      <c r="F272" s="461">
        <v>0</v>
      </c>
      <c r="G272" s="462">
        <v>6611.516682876294</v>
      </c>
      <c r="H272" s="461">
        <v>0</v>
      </c>
      <c r="I272" s="462">
        <v>6940.4800000000005</v>
      </c>
      <c r="J272" s="461">
        <v>0</v>
      </c>
      <c r="K272" s="462">
        <v>7855.0700000000015</v>
      </c>
      <c r="L272" s="435"/>
      <c r="M272" s="461">
        <f t="shared" si="105"/>
        <v>0</v>
      </c>
      <c r="N272" s="462">
        <f t="shared" si="106"/>
        <v>0</v>
      </c>
      <c r="O272" s="461">
        <f t="shared" si="107"/>
        <v>0</v>
      </c>
      <c r="P272" s="462">
        <f t="shared" si="108"/>
        <v>0</v>
      </c>
      <c r="R272" s="465" t="s">
        <v>302</v>
      </c>
      <c r="S272" s="461">
        <v>0</v>
      </c>
      <c r="T272" s="462">
        <v>6940.4800000000005</v>
      </c>
      <c r="U272" s="461">
        <v>0</v>
      </c>
      <c r="V272" s="462">
        <v>7855.0700000000015</v>
      </c>
    </row>
    <row r="273" spans="1:22" x14ac:dyDescent="0.2">
      <c r="A273" s="460" t="s">
        <v>303</v>
      </c>
      <c r="B273" s="461">
        <v>0</v>
      </c>
      <c r="C273" s="462">
        <v>44141.22658440104</v>
      </c>
      <c r="D273" s="461">
        <v>0</v>
      </c>
      <c r="E273" s="462">
        <v>58739.113692452316</v>
      </c>
      <c r="F273" s="461">
        <v>0</v>
      </c>
      <c r="G273" s="462">
        <v>47665.559093308279</v>
      </c>
      <c r="H273" s="461">
        <v>0</v>
      </c>
      <c r="I273" s="462">
        <v>51747</v>
      </c>
      <c r="J273" s="461">
        <v>0</v>
      </c>
      <c r="K273" s="462">
        <v>55315.080000000009</v>
      </c>
      <c r="L273" s="435"/>
      <c r="M273" s="461">
        <f t="shared" si="105"/>
        <v>0</v>
      </c>
      <c r="N273" s="462">
        <f t="shared" si="106"/>
        <v>0</v>
      </c>
      <c r="O273" s="461">
        <f t="shared" si="107"/>
        <v>0</v>
      </c>
      <c r="P273" s="462">
        <f t="shared" si="108"/>
        <v>0</v>
      </c>
      <c r="R273" s="460" t="s">
        <v>303</v>
      </c>
      <c r="S273" s="461">
        <v>0</v>
      </c>
      <c r="T273" s="462">
        <v>51747</v>
      </c>
      <c r="U273" s="461">
        <v>0</v>
      </c>
      <c r="V273" s="462">
        <v>55315.080000000009</v>
      </c>
    </row>
    <row r="274" spans="1:22" x14ac:dyDescent="0.2">
      <c r="A274" s="465" t="s">
        <v>304</v>
      </c>
      <c r="B274" s="461">
        <v>0</v>
      </c>
      <c r="C274" s="462">
        <v>41452.314394542438</v>
      </c>
      <c r="D274" s="461">
        <v>0</v>
      </c>
      <c r="E274" s="462">
        <v>35818.129792730484</v>
      </c>
      <c r="F274" s="461">
        <v>0</v>
      </c>
      <c r="G274" s="462">
        <v>38702.037740730993</v>
      </c>
      <c r="H274" s="461">
        <v>0</v>
      </c>
      <c r="I274" s="462">
        <v>40347.040000000001</v>
      </c>
      <c r="J274" s="461">
        <v>0</v>
      </c>
      <c r="K274" s="462">
        <v>41714.159999999996</v>
      </c>
      <c r="L274" s="435"/>
      <c r="M274" s="461">
        <f t="shared" si="105"/>
        <v>0</v>
      </c>
      <c r="N274" s="462">
        <f t="shared" si="106"/>
        <v>0</v>
      </c>
      <c r="O274" s="461">
        <f t="shared" si="107"/>
        <v>0</v>
      </c>
      <c r="P274" s="462">
        <f t="shared" si="108"/>
        <v>0</v>
      </c>
      <c r="R274" s="465" t="s">
        <v>304</v>
      </c>
      <c r="S274" s="461">
        <v>0</v>
      </c>
      <c r="T274" s="462">
        <v>40347.040000000001</v>
      </c>
      <c r="U274" s="461">
        <v>0</v>
      </c>
      <c r="V274" s="462">
        <v>41714.159999999996</v>
      </c>
    </row>
    <row r="275" spans="1:22" x14ac:dyDescent="0.2">
      <c r="A275" s="465" t="s">
        <v>305</v>
      </c>
      <c r="B275" s="461">
        <v>0</v>
      </c>
      <c r="C275" s="462">
        <v>365957.39849861624</v>
      </c>
      <c r="D275" s="461">
        <v>0</v>
      </c>
      <c r="E275" s="462">
        <v>358133.00010885915</v>
      </c>
      <c r="F275" s="461">
        <v>0</v>
      </c>
      <c r="G275" s="462">
        <v>395281.6505527366</v>
      </c>
      <c r="H275" s="461">
        <v>0</v>
      </c>
      <c r="I275" s="462">
        <v>394707.61</v>
      </c>
      <c r="J275" s="461">
        <v>0</v>
      </c>
      <c r="K275" s="462">
        <v>411311.39</v>
      </c>
      <c r="L275" s="435"/>
      <c r="M275" s="461">
        <f t="shared" si="105"/>
        <v>0</v>
      </c>
      <c r="N275" s="462">
        <f t="shared" si="106"/>
        <v>0</v>
      </c>
      <c r="O275" s="461">
        <f t="shared" si="107"/>
        <v>0</v>
      </c>
      <c r="P275" s="462">
        <f t="shared" si="108"/>
        <v>0</v>
      </c>
      <c r="R275" s="465" t="s">
        <v>305</v>
      </c>
      <c r="S275" s="461">
        <v>0</v>
      </c>
      <c r="T275" s="462">
        <v>394707.61</v>
      </c>
      <c r="U275" s="461">
        <v>0</v>
      </c>
      <c r="V275" s="462">
        <v>411311.39</v>
      </c>
    </row>
    <row r="276" spans="1:22" x14ac:dyDescent="0.2">
      <c r="A276" s="465" t="s">
        <v>306</v>
      </c>
      <c r="B276" s="461">
        <v>0</v>
      </c>
      <c r="C276" s="462">
        <v>188395.77589557107</v>
      </c>
      <c r="D276" s="461">
        <v>0</v>
      </c>
      <c r="E276" s="462">
        <v>219079.13410802381</v>
      </c>
      <c r="F276" s="461">
        <v>0</v>
      </c>
      <c r="G276" s="462">
        <v>234070.42898754525</v>
      </c>
      <c r="H276" s="461">
        <v>0</v>
      </c>
      <c r="I276" s="462">
        <v>259664.06</v>
      </c>
      <c r="J276" s="461">
        <v>0</v>
      </c>
      <c r="K276" s="462">
        <v>277225.87</v>
      </c>
      <c r="L276" s="435"/>
      <c r="M276" s="461">
        <f t="shared" si="105"/>
        <v>0</v>
      </c>
      <c r="N276" s="462">
        <f t="shared" si="106"/>
        <v>0</v>
      </c>
      <c r="O276" s="461">
        <f t="shared" si="107"/>
        <v>0</v>
      </c>
      <c r="P276" s="462">
        <f t="shared" si="108"/>
        <v>0</v>
      </c>
      <c r="R276" s="465" t="s">
        <v>306</v>
      </c>
      <c r="S276" s="461">
        <v>0</v>
      </c>
      <c r="T276" s="462">
        <v>259664.06</v>
      </c>
      <c r="U276" s="461">
        <v>0</v>
      </c>
      <c r="V276" s="462">
        <v>277225.87</v>
      </c>
    </row>
    <row r="277" spans="1:22" x14ac:dyDescent="0.2">
      <c r="A277" s="465" t="s">
        <v>307</v>
      </c>
      <c r="B277" s="461">
        <v>0</v>
      </c>
      <c r="C277" s="462">
        <v>583861.66473853611</v>
      </c>
      <c r="D277" s="461">
        <v>0</v>
      </c>
      <c r="E277" s="462">
        <v>612985.16029803758</v>
      </c>
      <c r="F277" s="461">
        <v>0</v>
      </c>
      <c r="G277" s="462">
        <v>602818.44952273462</v>
      </c>
      <c r="H277" s="461">
        <v>0</v>
      </c>
      <c r="I277" s="462">
        <v>649259.24</v>
      </c>
      <c r="J277" s="461">
        <v>0</v>
      </c>
      <c r="K277" s="462">
        <v>736965.72</v>
      </c>
      <c r="L277" s="435"/>
      <c r="M277" s="461">
        <f t="shared" si="105"/>
        <v>0</v>
      </c>
      <c r="N277" s="462">
        <f t="shared" si="106"/>
        <v>0</v>
      </c>
      <c r="O277" s="461">
        <f t="shared" si="107"/>
        <v>0</v>
      </c>
      <c r="P277" s="462">
        <f t="shared" si="108"/>
        <v>0</v>
      </c>
      <c r="R277" s="465" t="s">
        <v>307</v>
      </c>
      <c r="S277" s="461">
        <v>0</v>
      </c>
      <c r="T277" s="462">
        <v>649259.24</v>
      </c>
      <c r="U277" s="461">
        <v>0</v>
      </c>
      <c r="V277" s="462">
        <v>736965.72</v>
      </c>
    </row>
    <row r="278" spans="1:22" x14ac:dyDescent="0.2">
      <c r="A278" s="465" t="s">
        <v>308</v>
      </c>
      <c r="B278" s="461">
        <v>0</v>
      </c>
      <c r="C278" s="462">
        <v>0</v>
      </c>
      <c r="D278" s="461">
        <v>0</v>
      </c>
      <c r="E278" s="462">
        <v>0</v>
      </c>
      <c r="F278" s="461">
        <v>0</v>
      </c>
      <c r="G278" s="462">
        <v>0</v>
      </c>
      <c r="H278" s="461">
        <v>0</v>
      </c>
      <c r="I278" s="462">
        <v>0</v>
      </c>
      <c r="J278" s="461">
        <v>0</v>
      </c>
      <c r="K278" s="462">
        <v>0</v>
      </c>
      <c r="L278" s="435"/>
      <c r="M278" s="461">
        <f t="shared" si="105"/>
        <v>0</v>
      </c>
      <c r="N278" s="462">
        <f t="shared" si="106"/>
        <v>0</v>
      </c>
      <c r="O278" s="461">
        <f t="shared" si="107"/>
        <v>0</v>
      </c>
      <c r="P278" s="462">
        <f t="shared" si="108"/>
        <v>0</v>
      </c>
      <c r="R278" s="465" t="s">
        <v>308</v>
      </c>
      <c r="S278" s="461">
        <v>0</v>
      </c>
      <c r="T278" s="462">
        <v>0</v>
      </c>
      <c r="U278" s="461">
        <v>0</v>
      </c>
      <c r="V278" s="462">
        <v>0</v>
      </c>
    </row>
    <row r="279" spans="1:22" x14ac:dyDescent="0.2">
      <c r="A279" s="465" t="s">
        <v>309</v>
      </c>
      <c r="B279" s="461">
        <v>0</v>
      </c>
      <c r="C279" s="462">
        <v>147509.62715900311</v>
      </c>
      <c r="D279" s="461">
        <v>0</v>
      </c>
      <c r="E279" s="462">
        <v>125431.84573910167</v>
      </c>
      <c r="F279" s="461">
        <v>0</v>
      </c>
      <c r="G279" s="462">
        <v>136390.64126851811</v>
      </c>
      <c r="H279" s="461">
        <v>0</v>
      </c>
      <c r="I279" s="462">
        <v>139086.07999999999</v>
      </c>
      <c r="J279" s="461">
        <v>0</v>
      </c>
      <c r="K279" s="462">
        <v>145428.15000000002</v>
      </c>
      <c r="L279" s="435"/>
      <c r="M279" s="461">
        <f t="shared" si="105"/>
        <v>0</v>
      </c>
      <c r="N279" s="462">
        <f t="shared" si="106"/>
        <v>0</v>
      </c>
      <c r="O279" s="461">
        <f t="shared" si="107"/>
        <v>0</v>
      </c>
      <c r="P279" s="462">
        <f t="shared" si="108"/>
        <v>0</v>
      </c>
      <c r="R279" s="465" t="s">
        <v>309</v>
      </c>
      <c r="S279" s="461">
        <v>0</v>
      </c>
      <c r="T279" s="462">
        <v>139086.07999999999</v>
      </c>
      <c r="U279" s="461">
        <v>0</v>
      </c>
      <c r="V279" s="462">
        <v>145428.15000000002</v>
      </c>
    </row>
    <row r="280" spans="1:22" x14ac:dyDescent="0.2">
      <c r="A280" s="466" t="s">
        <v>310</v>
      </c>
      <c r="B280" s="461">
        <v>0</v>
      </c>
      <c r="C280" s="462">
        <v>47459.25160020317</v>
      </c>
      <c r="D280" s="461">
        <v>0</v>
      </c>
      <c r="E280" s="462">
        <v>49784.017578353058</v>
      </c>
      <c r="F280" s="461">
        <v>0</v>
      </c>
      <c r="G280" s="462">
        <v>50215.738895335839</v>
      </c>
      <c r="H280" s="461">
        <v>0</v>
      </c>
      <c r="I280" s="492">
        <v>49427.959999999992</v>
      </c>
      <c r="J280" s="461">
        <v>0</v>
      </c>
      <c r="K280" s="492">
        <v>51152.240000000005</v>
      </c>
      <c r="L280" s="435"/>
      <c r="M280" s="461">
        <f t="shared" si="105"/>
        <v>0</v>
      </c>
      <c r="N280" s="492">
        <f t="shared" si="106"/>
        <v>0</v>
      </c>
      <c r="O280" s="461">
        <f t="shared" si="107"/>
        <v>0</v>
      </c>
      <c r="P280" s="492">
        <f t="shared" si="108"/>
        <v>0</v>
      </c>
      <c r="R280" s="466" t="s">
        <v>310</v>
      </c>
      <c r="S280" s="461">
        <v>0</v>
      </c>
      <c r="T280" s="492">
        <v>49427.959999999992</v>
      </c>
      <c r="U280" s="461">
        <v>0</v>
      </c>
      <c r="V280" s="492">
        <v>51152.240000000005</v>
      </c>
    </row>
    <row r="281" spans="1:22" ht="3" customHeight="1" x14ac:dyDescent="0.2">
      <c r="A281" s="469"/>
      <c r="B281" s="470"/>
      <c r="C281" s="471"/>
      <c r="D281" s="470"/>
      <c r="E281" s="471"/>
      <c r="F281" s="470"/>
      <c r="G281" s="471"/>
      <c r="H281" s="470"/>
      <c r="I281" s="471"/>
      <c r="J281" s="470"/>
      <c r="K281" s="471"/>
      <c r="L281" s="435"/>
      <c r="M281" s="470"/>
      <c r="N281" s="471"/>
      <c r="O281" s="470"/>
      <c r="P281" s="471"/>
      <c r="R281" s="469"/>
      <c r="S281" s="470"/>
      <c r="T281" s="471"/>
      <c r="U281" s="470"/>
      <c r="V281" s="471"/>
    </row>
    <row r="282" spans="1:22" ht="12" thickBot="1" x14ac:dyDescent="0.25">
      <c r="A282" s="472" t="s">
        <v>205</v>
      </c>
      <c r="B282" s="473">
        <f t="shared" ref="B282:G282" si="109">SUM(B271:B281)</f>
        <v>0</v>
      </c>
      <c r="C282" s="474">
        <f t="shared" si="109"/>
        <v>1545991.2899945951</v>
      </c>
      <c r="D282" s="473">
        <f t="shared" si="109"/>
        <v>0</v>
      </c>
      <c r="E282" s="474">
        <f t="shared" si="109"/>
        <v>1561653.0604750975</v>
      </c>
      <c r="F282" s="473">
        <f t="shared" si="109"/>
        <v>0</v>
      </c>
      <c r="G282" s="474">
        <f t="shared" si="109"/>
        <v>1603448.654847767</v>
      </c>
      <c r="H282" s="473">
        <v>0</v>
      </c>
      <c r="I282" s="474">
        <v>1735963.84</v>
      </c>
      <c r="J282" s="473">
        <v>0</v>
      </c>
      <c r="K282" s="474">
        <v>1899319.8999999997</v>
      </c>
      <c r="L282" s="435"/>
      <c r="M282" s="473">
        <f>IFERROR(H282-S282,"")</f>
        <v>0</v>
      </c>
      <c r="N282" s="474">
        <f>IFERROR(I282-T282,"")</f>
        <v>0</v>
      </c>
      <c r="O282" s="473">
        <f>IFERROR(J282-U282,"")</f>
        <v>0</v>
      </c>
      <c r="P282" s="474">
        <f>IFERROR(K282-V282,"")</f>
        <v>0</v>
      </c>
      <c r="R282" s="472" t="s">
        <v>205</v>
      </c>
      <c r="S282" s="473">
        <v>0</v>
      </c>
      <c r="T282" s="474">
        <v>1735963.84</v>
      </c>
      <c r="U282" s="473">
        <v>0</v>
      </c>
      <c r="V282" s="474">
        <v>1899319.8999999997</v>
      </c>
    </row>
    <row r="283" spans="1:22" ht="12" thickTop="1" x14ac:dyDescent="0.2">
      <c r="A283" s="475"/>
      <c r="B283" s="477"/>
      <c r="C283" s="476"/>
      <c r="D283" s="477"/>
      <c r="E283" s="476"/>
      <c r="F283" s="477"/>
      <c r="G283" s="476"/>
      <c r="H283" s="477"/>
      <c r="I283" s="476"/>
      <c r="J283" s="477"/>
      <c r="K283" s="476"/>
      <c r="L283" s="435"/>
      <c r="M283" s="477"/>
      <c r="N283" s="476"/>
      <c r="O283" s="477"/>
      <c r="P283" s="476"/>
      <c r="R283" s="475"/>
      <c r="S283" s="477"/>
      <c r="T283" s="476"/>
      <c r="U283" s="477"/>
      <c r="V283" s="476"/>
    </row>
    <row r="284" spans="1:22" x14ac:dyDescent="0.2">
      <c r="A284" s="476"/>
      <c r="B284" s="477"/>
      <c r="C284" s="476"/>
      <c r="D284" s="477"/>
      <c r="E284" s="476"/>
      <c r="F284" s="477"/>
      <c r="G284" s="476"/>
      <c r="H284" s="477"/>
      <c r="I284" s="476"/>
      <c r="J284" s="477"/>
      <c r="K284" s="476"/>
      <c r="L284" s="435"/>
      <c r="M284" s="477"/>
      <c r="N284" s="476"/>
      <c r="O284" s="477"/>
      <c r="P284" s="476"/>
      <c r="R284" s="476"/>
      <c r="S284" s="477"/>
      <c r="T284" s="476"/>
      <c r="U284" s="477"/>
      <c r="V284" s="476"/>
    </row>
    <row r="285" spans="1:22" x14ac:dyDescent="0.2">
      <c r="A285" s="480" t="s">
        <v>313</v>
      </c>
      <c r="B285" s="487"/>
      <c r="C285" s="486"/>
      <c r="D285" s="487"/>
      <c r="E285" s="486"/>
      <c r="F285" s="487"/>
      <c r="G285" s="486"/>
      <c r="H285" s="487"/>
      <c r="I285" s="486"/>
      <c r="J285" s="487"/>
      <c r="K285" s="486"/>
      <c r="L285" s="435"/>
      <c r="M285" s="487"/>
      <c r="N285" s="486"/>
      <c r="O285" s="487"/>
      <c r="P285" s="486"/>
      <c r="R285" s="480" t="s">
        <v>313</v>
      </c>
      <c r="S285" s="487"/>
      <c r="T285" s="486"/>
      <c r="U285" s="487"/>
      <c r="V285" s="486"/>
    </row>
    <row r="286" spans="1:22" x14ac:dyDescent="0.2">
      <c r="A286" s="455" t="s">
        <v>301</v>
      </c>
      <c r="B286" s="456">
        <v>0</v>
      </c>
      <c r="C286" s="457">
        <v>0</v>
      </c>
      <c r="D286" s="456">
        <v>0</v>
      </c>
      <c r="E286" s="457">
        <v>0</v>
      </c>
      <c r="F286" s="456">
        <v>0</v>
      </c>
      <c r="G286" s="457">
        <v>0</v>
      </c>
      <c r="H286" s="456">
        <v>0</v>
      </c>
      <c r="I286" s="457">
        <v>0</v>
      </c>
      <c r="J286" s="456">
        <v>0</v>
      </c>
      <c r="K286" s="457">
        <v>0</v>
      </c>
      <c r="L286" s="435"/>
      <c r="M286" s="456">
        <f t="shared" ref="M286:M295" si="110">IFERROR(H286-S286,"")</f>
        <v>0</v>
      </c>
      <c r="N286" s="457">
        <f t="shared" ref="N286:N295" si="111">IFERROR(I286-T286,"")</f>
        <v>0</v>
      </c>
      <c r="O286" s="456">
        <f t="shared" ref="O286:O295" si="112">IFERROR(J286-U286,"")</f>
        <v>0</v>
      </c>
      <c r="P286" s="457">
        <f t="shared" ref="P286:P295" si="113">IFERROR(K286-V286,"")</f>
        <v>0</v>
      </c>
      <c r="R286" s="455" t="s">
        <v>301</v>
      </c>
      <c r="S286" s="456">
        <v>0</v>
      </c>
      <c r="T286" s="457">
        <v>0</v>
      </c>
      <c r="U286" s="456">
        <v>0</v>
      </c>
      <c r="V286" s="457">
        <v>0</v>
      </c>
    </row>
    <row r="287" spans="1:22" x14ac:dyDescent="0.2">
      <c r="A287" s="465" t="s">
        <v>302</v>
      </c>
      <c r="B287" s="461">
        <v>0</v>
      </c>
      <c r="C287" s="462">
        <v>0</v>
      </c>
      <c r="D287" s="461">
        <v>0</v>
      </c>
      <c r="E287" s="462">
        <v>46.549329386918814</v>
      </c>
      <c r="F287" s="461">
        <v>0</v>
      </c>
      <c r="G287" s="462">
        <v>8995.0252198559592</v>
      </c>
      <c r="H287" s="461">
        <v>0</v>
      </c>
      <c r="I287" s="462">
        <v>16838.7</v>
      </c>
      <c r="J287" s="461">
        <v>0</v>
      </c>
      <c r="K287" s="462">
        <v>17343.990000000002</v>
      </c>
      <c r="L287" s="435"/>
      <c r="M287" s="461">
        <f t="shared" si="110"/>
        <v>0</v>
      </c>
      <c r="N287" s="462">
        <f t="shared" si="111"/>
        <v>0</v>
      </c>
      <c r="O287" s="461">
        <f t="shared" si="112"/>
        <v>0</v>
      </c>
      <c r="P287" s="462">
        <f t="shared" si="113"/>
        <v>0</v>
      </c>
      <c r="R287" s="465" t="s">
        <v>302</v>
      </c>
      <c r="S287" s="461">
        <v>0</v>
      </c>
      <c r="T287" s="462">
        <v>16838.7</v>
      </c>
      <c r="U287" s="461">
        <v>0</v>
      </c>
      <c r="V287" s="462">
        <v>17343.990000000002</v>
      </c>
    </row>
    <row r="288" spans="1:22" x14ac:dyDescent="0.2">
      <c r="A288" s="460" t="s">
        <v>303</v>
      </c>
      <c r="B288" s="461">
        <v>0</v>
      </c>
      <c r="C288" s="462">
        <v>19612.348619026747</v>
      </c>
      <c r="D288" s="461">
        <v>0</v>
      </c>
      <c r="E288" s="462">
        <v>23244.772475453072</v>
      </c>
      <c r="F288" s="461">
        <v>0</v>
      </c>
      <c r="G288" s="462">
        <v>32247.635777652253</v>
      </c>
      <c r="H288" s="461">
        <v>0</v>
      </c>
      <c r="I288" s="462">
        <v>32842.589999999997</v>
      </c>
      <c r="J288" s="461">
        <v>0</v>
      </c>
      <c r="K288" s="462">
        <v>34089.43</v>
      </c>
      <c r="L288" s="435"/>
      <c r="M288" s="461">
        <f t="shared" si="110"/>
        <v>0</v>
      </c>
      <c r="N288" s="462">
        <f t="shared" si="111"/>
        <v>0</v>
      </c>
      <c r="O288" s="461">
        <f t="shared" si="112"/>
        <v>0</v>
      </c>
      <c r="P288" s="462">
        <f t="shared" si="113"/>
        <v>0</v>
      </c>
      <c r="R288" s="460" t="s">
        <v>303</v>
      </c>
      <c r="S288" s="461">
        <v>0</v>
      </c>
      <c r="T288" s="462">
        <v>32842.589999999997</v>
      </c>
      <c r="U288" s="461">
        <v>0</v>
      </c>
      <c r="V288" s="462">
        <v>34089.43</v>
      </c>
    </row>
    <row r="289" spans="1:22" x14ac:dyDescent="0.2">
      <c r="A289" s="465" t="s">
        <v>304</v>
      </c>
      <c r="B289" s="461">
        <v>0</v>
      </c>
      <c r="C289" s="462">
        <v>4607.243856345046</v>
      </c>
      <c r="D289" s="461">
        <v>0</v>
      </c>
      <c r="E289" s="462">
        <v>12482.537327037877</v>
      </c>
      <c r="F289" s="461">
        <v>0</v>
      </c>
      <c r="G289" s="462">
        <v>16538.742972422875</v>
      </c>
      <c r="H289" s="461">
        <v>0</v>
      </c>
      <c r="I289" s="462">
        <v>20707.16</v>
      </c>
      <c r="J289" s="461">
        <v>0</v>
      </c>
      <c r="K289" s="462">
        <v>21379.129999999997</v>
      </c>
      <c r="L289" s="435"/>
      <c r="M289" s="461">
        <f t="shared" si="110"/>
        <v>0</v>
      </c>
      <c r="N289" s="462">
        <f t="shared" si="111"/>
        <v>0</v>
      </c>
      <c r="O289" s="461">
        <f t="shared" si="112"/>
        <v>0</v>
      </c>
      <c r="P289" s="462">
        <f t="shared" si="113"/>
        <v>0</v>
      </c>
      <c r="R289" s="465" t="s">
        <v>304</v>
      </c>
      <c r="S289" s="461">
        <v>0</v>
      </c>
      <c r="T289" s="462">
        <v>20707.16</v>
      </c>
      <c r="U289" s="461">
        <v>0</v>
      </c>
      <c r="V289" s="462">
        <v>21379.129999999997</v>
      </c>
    </row>
    <row r="290" spans="1:22" ht="14.25" customHeight="1" x14ac:dyDescent="0.2">
      <c r="A290" s="465" t="s">
        <v>305</v>
      </c>
      <c r="B290" s="461">
        <v>0</v>
      </c>
      <c r="C290" s="462">
        <v>124275.12223435869</v>
      </c>
      <c r="D290" s="461">
        <v>0</v>
      </c>
      <c r="E290" s="462">
        <v>232167.70411837735</v>
      </c>
      <c r="F290" s="461">
        <v>0</v>
      </c>
      <c r="G290" s="462">
        <v>201622.93991062103</v>
      </c>
      <c r="H290" s="461">
        <v>0</v>
      </c>
      <c r="I290" s="462">
        <v>231512.93</v>
      </c>
      <c r="J290" s="461">
        <v>0</v>
      </c>
      <c r="K290" s="462">
        <v>240645.07</v>
      </c>
      <c r="L290" s="435"/>
      <c r="M290" s="461">
        <f t="shared" si="110"/>
        <v>0</v>
      </c>
      <c r="N290" s="462">
        <f t="shared" si="111"/>
        <v>0</v>
      </c>
      <c r="O290" s="461">
        <f t="shared" si="112"/>
        <v>0</v>
      </c>
      <c r="P290" s="462">
        <f t="shared" si="113"/>
        <v>0</v>
      </c>
      <c r="R290" s="465" t="s">
        <v>305</v>
      </c>
      <c r="S290" s="461">
        <v>0</v>
      </c>
      <c r="T290" s="462">
        <v>231512.93</v>
      </c>
      <c r="U290" s="461">
        <v>0</v>
      </c>
      <c r="V290" s="462">
        <v>240645.07</v>
      </c>
    </row>
    <row r="291" spans="1:22" ht="14.25" customHeight="1" x14ac:dyDescent="0.2">
      <c r="A291" s="465" t="s">
        <v>306</v>
      </c>
      <c r="B291" s="461">
        <v>0</v>
      </c>
      <c r="C291" s="462">
        <v>45392.367763391318</v>
      </c>
      <c r="D291" s="461">
        <v>0</v>
      </c>
      <c r="E291" s="462">
        <v>80001.821269690467</v>
      </c>
      <c r="F291" s="461">
        <v>0</v>
      </c>
      <c r="G291" s="462">
        <v>107922.76650654881</v>
      </c>
      <c r="H291" s="461">
        <v>0</v>
      </c>
      <c r="I291" s="462">
        <v>205574.88</v>
      </c>
      <c r="J291" s="461">
        <v>0</v>
      </c>
      <c r="K291" s="462">
        <v>215040.46999999997</v>
      </c>
      <c r="L291" s="435"/>
      <c r="M291" s="461">
        <f t="shared" si="110"/>
        <v>0</v>
      </c>
      <c r="N291" s="462">
        <f t="shared" si="111"/>
        <v>0</v>
      </c>
      <c r="O291" s="461">
        <f t="shared" si="112"/>
        <v>0</v>
      </c>
      <c r="P291" s="462">
        <f t="shared" si="113"/>
        <v>0</v>
      </c>
      <c r="R291" s="465" t="s">
        <v>306</v>
      </c>
      <c r="S291" s="461">
        <v>0</v>
      </c>
      <c r="T291" s="462">
        <v>205574.88</v>
      </c>
      <c r="U291" s="461">
        <v>0</v>
      </c>
      <c r="V291" s="462">
        <v>215040.46999999997</v>
      </c>
    </row>
    <row r="292" spans="1:22" x14ac:dyDescent="0.2">
      <c r="A292" s="465" t="s">
        <v>307</v>
      </c>
      <c r="B292" s="461">
        <v>0</v>
      </c>
      <c r="C292" s="462">
        <v>82040.889836641625</v>
      </c>
      <c r="D292" s="461">
        <v>0</v>
      </c>
      <c r="E292" s="462">
        <v>214964.81317351019</v>
      </c>
      <c r="F292" s="461">
        <v>0</v>
      </c>
      <c r="G292" s="462">
        <v>195718.22525539927</v>
      </c>
      <c r="H292" s="461">
        <v>0</v>
      </c>
      <c r="I292" s="462">
        <v>247267.54999999996</v>
      </c>
      <c r="J292" s="461">
        <v>0</v>
      </c>
      <c r="K292" s="462">
        <v>264471.42000000004</v>
      </c>
      <c r="L292" s="435"/>
      <c r="M292" s="461">
        <f t="shared" si="110"/>
        <v>0</v>
      </c>
      <c r="N292" s="462">
        <f t="shared" si="111"/>
        <v>0</v>
      </c>
      <c r="O292" s="461">
        <f t="shared" si="112"/>
        <v>0</v>
      </c>
      <c r="P292" s="462">
        <f t="shared" si="113"/>
        <v>0</v>
      </c>
      <c r="R292" s="465" t="s">
        <v>307</v>
      </c>
      <c r="S292" s="461">
        <v>0</v>
      </c>
      <c r="T292" s="462">
        <v>247267.54999999996</v>
      </c>
      <c r="U292" s="461">
        <v>0</v>
      </c>
      <c r="V292" s="462">
        <v>264471.42000000004</v>
      </c>
    </row>
    <row r="293" spans="1:22" x14ac:dyDescent="0.2">
      <c r="A293" s="465" t="s">
        <v>308</v>
      </c>
      <c r="B293" s="461">
        <v>0</v>
      </c>
      <c r="C293" s="462">
        <v>0</v>
      </c>
      <c r="D293" s="461">
        <v>0</v>
      </c>
      <c r="E293" s="462">
        <v>0</v>
      </c>
      <c r="F293" s="461">
        <v>0</v>
      </c>
      <c r="G293" s="462">
        <v>0</v>
      </c>
      <c r="H293" s="461">
        <v>0</v>
      </c>
      <c r="I293" s="462">
        <v>0</v>
      </c>
      <c r="J293" s="461">
        <v>0</v>
      </c>
      <c r="K293" s="462">
        <v>0</v>
      </c>
      <c r="L293" s="435"/>
      <c r="M293" s="461">
        <f t="shared" si="110"/>
        <v>0</v>
      </c>
      <c r="N293" s="462">
        <f t="shared" si="111"/>
        <v>0</v>
      </c>
      <c r="O293" s="461">
        <f t="shared" si="112"/>
        <v>0</v>
      </c>
      <c r="P293" s="462">
        <f t="shared" si="113"/>
        <v>0</v>
      </c>
      <c r="R293" s="465" t="s">
        <v>308</v>
      </c>
      <c r="S293" s="461">
        <v>0</v>
      </c>
      <c r="T293" s="462">
        <v>0</v>
      </c>
      <c r="U293" s="461">
        <v>0</v>
      </c>
      <c r="V293" s="462">
        <v>0</v>
      </c>
    </row>
    <row r="294" spans="1:22" x14ac:dyDescent="0.2">
      <c r="A294" s="465" t="s">
        <v>309</v>
      </c>
      <c r="B294" s="461">
        <v>0</v>
      </c>
      <c r="C294" s="462">
        <v>21601.155049417215</v>
      </c>
      <c r="D294" s="461">
        <v>0</v>
      </c>
      <c r="E294" s="462">
        <v>40291.781039014386</v>
      </c>
      <c r="F294" s="461">
        <v>0</v>
      </c>
      <c r="G294" s="462">
        <v>29086.380406302989</v>
      </c>
      <c r="H294" s="461">
        <v>0</v>
      </c>
      <c r="I294" s="462">
        <v>46476.029999999992</v>
      </c>
      <c r="J294" s="461">
        <v>0</v>
      </c>
      <c r="K294" s="462">
        <v>48594.81</v>
      </c>
      <c r="L294" s="435"/>
      <c r="M294" s="461">
        <f t="shared" si="110"/>
        <v>0</v>
      </c>
      <c r="N294" s="462">
        <f t="shared" si="111"/>
        <v>0</v>
      </c>
      <c r="O294" s="461">
        <f t="shared" si="112"/>
        <v>0</v>
      </c>
      <c r="P294" s="462">
        <f t="shared" si="113"/>
        <v>0</v>
      </c>
      <c r="R294" s="465" t="s">
        <v>309</v>
      </c>
      <c r="S294" s="461">
        <v>0</v>
      </c>
      <c r="T294" s="462">
        <v>46476.029999999992</v>
      </c>
      <c r="U294" s="461">
        <v>0</v>
      </c>
      <c r="V294" s="462">
        <v>48594.81</v>
      </c>
    </row>
    <row r="295" spans="1:22" x14ac:dyDescent="0.2">
      <c r="A295" s="466" t="s">
        <v>310</v>
      </c>
      <c r="B295" s="461">
        <v>0</v>
      </c>
      <c r="C295" s="462">
        <v>19630.974692171578</v>
      </c>
      <c r="D295" s="461">
        <v>0</v>
      </c>
      <c r="E295" s="462">
        <v>17891.90153755348</v>
      </c>
      <c r="F295" s="461">
        <v>0</v>
      </c>
      <c r="G295" s="462">
        <v>26344.951832494371</v>
      </c>
      <c r="H295" s="461">
        <v>0</v>
      </c>
      <c r="I295" s="492">
        <v>17878.230000000003</v>
      </c>
      <c r="J295" s="461">
        <v>0</v>
      </c>
      <c r="K295" s="492">
        <v>18509.289999999997</v>
      </c>
      <c r="L295" s="435"/>
      <c r="M295" s="461">
        <f t="shared" si="110"/>
        <v>0</v>
      </c>
      <c r="N295" s="492">
        <f t="shared" si="111"/>
        <v>0</v>
      </c>
      <c r="O295" s="461">
        <f t="shared" si="112"/>
        <v>0</v>
      </c>
      <c r="P295" s="492">
        <f t="shared" si="113"/>
        <v>0</v>
      </c>
      <c r="R295" s="466" t="s">
        <v>310</v>
      </c>
      <c r="S295" s="461">
        <v>0</v>
      </c>
      <c r="T295" s="492">
        <v>17878.230000000003</v>
      </c>
      <c r="U295" s="461">
        <v>0</v>
      </c>
      <c r="V295" s="492">
        <v>18509.289999999997</v>
      </c>
    </row>
    <row r="296" spans="1:22" ht="3" customHeight="1" x14ac:dyDescent="0.2">
      <c r="A296" s="469"/>
      <c r="B296" s="470"/>
      <c r="C296" s="471"/>
      <c r="D296" s="470"/>
      <c r="E296" s="471"/>
      <c r="F296" s="470"/>
      <c r="G296" s="471"/>
      <c r="H296" s="470"/>
      <c r="I296" s="471"/>
      <c r="J296" s="470"/>
      <c r="K296" s="471"/>
      <c r="L296" s="435"/>
      <c r="M296" s="470"/>
      <c r="N296" s="471"/>
      <c r="O296" s="470"/>
      <c r="P296" s="471"/>
      <c r="R296" s="469"/>
      <c r="S296" s="470"/>
      <c r="T296" s="471"/>
      <c r="U296" s="470"/>
      <c r="V296" s="471"/>
    </row>
    <row r="297" spans="1:22" ht="12" thickBot="1" x14ac:dyDescent="0.25">
      <c r="A297" s="472" t="s">
        <v>205</v>
      </c>
      <c r="B297" s="473">
        <f t="shared" ref="B297:G297" si="114">SUM(B286:B296)</f>
        <v>0</v>
      </c>
      <c r="C297" s="474">
        <f t="shared" si="114"/>
        <v>317160.10205135221</v>
      </c>
      <c r="D297" s="473">
        <f t="shared" si="114"/>
        <v>0</v>
      </c>
      <c r="E297" s="474">
        <f t="shared" si="114"/>
        <v>621091.88027002371</v>
      </c>
      <c r="F297" s="473">
        <f t="shared" si="114"/>
        <v>0</v>
      </c>
      <c r="G297" s="474">
        <f t="shared" si="114"/>
        <v>618476.66788129753</v>
      </c>
      <c r="H297" s="473">
        <v>0</v>
      </c>
      <c r="I297" s="474">
        <v>819098.07</v>
      </c>
      <c r="J297" s="473">
        <v>0</v>
      </c>
      <c r="K297" s="474">
        <v>860073.6100000001</v>
      </c>
      <c r="L297" s="435"/>
      <c r="M297" s="473">
        <f>IFERROR(H297-S297,"")</f>
        <v>0</v>
      </c>
      <c r="N297" s="474">
        <f>IFERROR(I297-T297,"")</f>
        <v>0</v>
      </c>
      <c r="O297" s="473">
        <f>IFERROR(J297-U297,"")</f>
        <v>0</v>
      </c>
      <c r="P297" s="474">
        <f>IFERROR(K297-V297,"")</f>
        <v>0</v>
      </c>
      <c r="R297" s="472" t="s">
        <v>205</v>
      </c>
      <c r="S297" s="473">
        <v>0</v>
      </c>
      <c r="T297" s="474">
        <v>819098.07</v>
      </c>
      <c r="U297" s="473">
        <v>0</v>
      </c>
      <c r="V297" s="474">
        <v>860073.6100000001</v>
      </c>
    </row>
    <row r="298" spans="1:22" ht="12" thickTop="1" x14ac:dyDescent="0.2">
      <c r="A298" s="475"/>
      <c r="B298" s="477"/>
      <c r="C298" s="476"/>
      <c r="D298" s="477"/>
      <c r="E298" s="476"/>
      <c r="F298" s="477"/>
      <c r="G298" s="476"/>
      <c r="H298" s="477"/>
      <c r="I298" s="476"/>
      <c r="J298" s="477"/>
      <c r="K298" s="476"/>
      <c r="L298" s="435"/>
      <c r="M298" s="477"/>
      <c r="N298" s="476"/>
      <c r="O298" s="477"/>
      <c r="P298" s="476"/>
      <c r="R298" s="475"/>
      <c r="S298" s="477"/>
      <c r="T298" s="476"/>
      <c r="U298" s="477"/>
      <c r="V298" s="476"/>
    </row>
    <row r="299" spans="1:22" x14ac:dyDescent="0.2">
      <c r="A299" s="476"/>
      <c r="B299" s="477"/>
      <c r="C299" s="476"/>
      <c r="D299" s="477"/>
      <c r="E299" s="476"/>
      <c r="F299" s="477"/>
      <c r="G299" s="476"/>
      <c r="H299" s="477"/>
      <c r="I299" s="476"/>
      <c r="J299" s="477"/>
      <c r="K299" s="476"/>
      <c r="L299" s="435"/>
      <c r="M299" s="477"/>
      <c r="N299" s="476"/>
      <c r="O299" s="477"/>
      <c r="P299" s="476"/>
      <c r="R299" s="476"/>
      <c r="S299" s="477"/>
      <c r="T299" s="476"/>
      <c r="U299" s="477"/>
      <c r="V299" s="476"/>
    </row>
    <row r="300" spans="1:22" x14ac:dyDescent="0.2">
      <c r="A300" s="480" t="s">
        <v>314</v>
      </c>
      <c r="B300" s="482"/>
      <c r="C300" s="481"/>
      <c r="D300" s="482"/>
      <c r="E300" s="481"/>
      <c r="F300" s="482"/>
      <c r="G300" s="481"/>
      <c r="H300" s="482"/>
      <c r="I300" s="481"/>
      <c r="J300" s="482"/>
      <c r="K300" s="481"/>
      <c r="L300" s="435"/>
      <c r="M300" s="482"/>
      <c r="N300" s="481"/>
      <c r="O300" s="482"/>
      <c r="P300" s="481"/>
      <c r="R300" s="480" t="s">
        <v>314</v>
      </c>
      <c r="S300" s="482"/>
      <c r="T300" s="481"/>
      <c r="U300" s="482"/>
      <c r="V300" s="481"/>
    </row>
    <row r="301" spans="1:22" x14ac:dyDescent="0.2">
      <c r="A301" s="455" t="s">
        <v>301</v>
      </c>
      <c r="B301" s="456">
        <v>0</v>
      </c>
      <c r="C301" s="457">
        <v>0</v>
      </c>
      <c r="D301" s="456">
        <v>0</v>
      </c>
      <c r="E301" s="457">
        <v>0</v>
      </c>
      <c r="F301" s="456">
        <v>0</v>
      </c>
      <c r="G301" s="457">
        <v>0</v>
      </c>
      <c r="H301" s="456">
        <v>0</v>
      </c>
      <c r="I301" s="457">
        <v>0</v>
      </c>
      <c r="J301" s="456">
        <v>0</v>
      </c>
      <c r="K301" s="457">
        <v>0</v>
      </c>
      <c r="L301" s="435"/>
      <c r="M301" s="456">
        <f t="shared" ref="M301:M310" si="115">IFERROR(H301-S301,"")</f>
        <v>0</v>
      </c>
      <c r="N301" s="457">
        <f t="shared" ref="N301:N310" si="116">IFERROR(I301-T301,"")</f>
        <v>0</v>
      </c>
      <c r="O301" s="456">
        <f t="shared" ref="O301:O310" si="117">IFERROR(J301-U301,"")</f>
        <v>0</v>
      </c>
      <c r="P301" s="457">
        <f t="shared" ref="P301:P310" si="118">IFERROR(K301-V301,"")</f>
        <v>0</v>
      </c>
      <c r="R301" s="455" t="s">
        <v>301</v>
      </c>
      <c r="S301" s="456">
        <v>0</v>
      </c>
      <c r="T301" s="457">
        <v>0</v>
      </c>
      <c r="U301" s="456">
        <v>0</v>
      </c>
      <c r="V301" s="457">
        <v>0</v>
      </c>
    </row>
    <row r="302" spans="1:22" x14ac:dyDescent="0.2">
      <c r="A302" s="465" t="s">
        <v>302</v>
      </c>
      <c r="B302" s="461">
        <v>0</v>
      </c>
      <c r="C302" s="462">
        <v>0</v>
      </c>
      <c r="D302" s="461">
        <v>0</v>
      </c>
      <c r="E302" s="462">
        <v>0</v>
      </c>
      <c r="F302" s="461">
        <v>0</v>
      </c>
      <c r="G302" s="462">
        <v>0</v>
      </c>
      <c r="H302" s="461">
        <v>0</v>
      </c>
      <c r="I302" s="462">
        <v>0</v>
      </c>
      <c r="J302" s="461">
        <v>0</v>
      </c>
      <c r="K302" s="462">
        <v>0</v>
      </c>
      <c r="L302" s="435"/>
      <c r="M302" s="461">
        <f t="shared" si="115"/>
        <v>0</v>
      </c>
      <c r="N302" s="462">
        <f t="shared" si="116"/>
        <v>0</v>
      </c>
      <c r="O302" s="461">
        <f t="shared" si="117"/>
        <v>0</v>
      </c>
      <c r="P302" s="462">
        <f t="shared" si="118"/>
        <v>0</v>
      </c>
      <c r="R302" s="465" t="s">
        <v>302</v>
      </c>
      <c r="S302" s="461">
        <v>0</v>
      </c>
      <c r="T302" s="462">
        <v>0</v>
      </c>
      <c r="U302" s="461">
        <v>0</v>
      </c>
      <c r="V302" s="462">
        <v>0</v>
      </c>
    </row>
    <row r="303" spans="1:22" x14ac:dyDescent="0.2">
      <c r="A303" s="460" t="s">
        <v>303</v>
      </c>
      <c r="B303" s="461">
        <v>0</v>
      </c>
      <c r="C303" s="462">
        <v>2639.4813238360002</v>
      </c>
      <c r="D303" s="461">
        <v>0</v>
      </c>
      <c r="E303" s="462">
        <v>1796.9844104950419</v>
      </c>
      <c r="F303" s="461">
        <v>0</v>
      </c>
      <c r="G303" s="462">
        <v>2188.5641463372135</v>
      </c>
      <c r="H303" s="461">
        <v>0</v>
      </c>
      <c r="I303" s="462">
        <v>3363.4100000000003</v>
      </c>
      <c r="J303" s="461">
        <v>0</v>
      </c>
      <c r="K303" s="462">
        <v>3383.6399999999994</v>
      </c>
      <c r="L303" s="435"/>
      <c r="M303" s="461">
        <f t="shared" si="115"/>
        <v>0</v>
      </c>
      <c r="N303" s="462">
        <f t="shared" si="116"/>
        <v>0</v>
      </c>
      <c r="O303" s="461">
        <f t="shared" si="117"/>
        <v>0</v>
      </c>
      <c r="P303" s="462">
        <f t="shared" si="118"/>
        <v>0</v>
      </c>
      <c r="R303" s="460" t="s">
        <v>303</v>
      </c>
      <c r="S303" s="461">
        <v>0</v>
      </c>
      <c r="T303" s="462">
        <v>3363.4100000000003</v>
      </c>
      <c r="U303" s="461">
        <v>0</v>
      </c>
      <c r="V303" s="462">
        <v>3383.6399999999994</v>
      </c>
    </row>
    <row r="304" spans="1:22" x14ac:dyDescent="0.2">
      <c r="A304" s="465" t="s">
        <v>304</v>
      </c>
      <c r="B304" s="461">
        <v>0</v>
      </c>
      <c r="C304" s="462">
        <v>47812.252729564105</v>
      </c>
      <c r="D304" s="461">
        <v>0</v>
      </c>
      <c r="E304" s="462">
        <v>49856.203236097936</v>
      </c>
      <c r="F304" s="461">
        <v>0</v>
      </c>
      <c r="G304" s="462">
        <v>55028.627066912726</v>
      </c>
      <c r="H304" s="461">
        <v>0</v>
      </c>
      <c r="I304" s="462">
        <v>54987.75</v>
      </c>
      <c r="J304" s="461">
        <v>0</v>
      </c>
      <c r="K304" s="462">
        <v>56374.590000000004</v>
      </c>
      <c r="L304" s="435"/>
      <c r="M304" s="461">
        <f t="shared" si="115"/>
        <v>0</v>
      </c>
      <c r="N304" s="462">
        <f t="shared" si="116"/>
        <v>0</v>
      </c>
      <c r="O304" s="461">
        <f t="shared" si="117"/>
        <v>0</v>
      </c>
      <c r="P304" s="462">
        <f t="shared" si="118"/>
        <v>0</v>
      </c>
      <c r="R304" s="465" t="s">
        <v>304</v>
      </c>
      <c r="S304" s="461">
        <v>0</v>
      </c>
      <c r="T304" s="462">
        <v>54987.75</v>
      </c>
      <c r="U304" s="461">
        <v>0</v>
      </c>
      <c r="V304" s="462">
        <v>56374.590000000004</v>
      </c>
    </row>
    <row r="305" spans="1:22" x14ac:dyDescent="0.2">
      <c r="A305" s="465" t="s">
        <v>305</v>
      </c>
      <c r="B305" s="461">
        <v>0</v>
      </c>
      <c r="C305" s="462">
        <v>542921.31608058943</v>
      </c>
      <c r="D305" s="461">
        <v>0</v>
      </c>
      <c r="E305" s="462">
        <v>569783.27823899547</v>
      </c>
      <c r="F305" s="461">
        <v>0</v>
      </c>
      <c r="G305" s="462">
        <v>582006.22853179171</v>
      </c>
      <c r="H305" s="461">
        <v>0</v>
      </c>
      <c r="I305" s="462">
        <v>558958.09</v>
      </c>
      <c r="J305" s="461">
        <v>0</v>
      </c>
      <c r="K305" s="462">
        <v>577534.24</v>
      </c>
      <c r="L305" s="435"/>
      <c r="M305" s="461">
        <f t="shared" si="115"/>
        <v>0</v>
      </c>
      <c r="N305" s="462">
        <f t="shared" si="116"/>
        <v>0</v>
      </c>
      <c r="O305" s="461">
        <f t="shared" si="117"/>
        <v>0</v>
      </c>
      <c r="P305" s="462">
        <f t="shared" si="118"/>
        <v>0</v>
      </c>
      <c r="R305" s="465" t="s">
        <v>305</v>
      </c>
      <c r="S305" s="461">
        <v>0</v>
      </c>
      <c r="T305" s="462">
        <v>558958.09</v>
      </c>
      <c r="U305" s="461">
        <v>0</v>
      </c>
      <c r="V305" s="462">
        <v>577534.24</v>
      </c>
    </row>
    <row r="306" spans="1:22" x14ac:dyDescent="0.2">
      <c r="A306" s="465" t="s">
        <v>306</v>
      </c>
      <c r="B306" s="461">
        <v>0</v>
      </c>
      <c r="C306" s="462">
        <v>313075.93704035325</v>
      </c>
      <c r="D306" s="461">
        <v>0</v>
      </c>
      <c r="E306" s="462">
        <v>392997.21062875993</v>
      </c>
      <c r="F306" s="461">
        <v>0</v>
      </c>
      <c r="G306" s="462">
        <v>445877.8693798348</v>
      </c>
      <c r="H306" s="461">
        <v>0</v>
      </c>
      <c r="I306" s="462">
        <v>406626.60000000003</v>
      </c>
      <c r="J306" s="461">
        <v>0</v>
      </c>
      <c r="K306" s="462">
        <v>425615.3</v>
      </c>
      <c r="L306" s="435"/>
      <c r="M306" s="461">
        <f t="shared" si="115"/>
        <v>0</v>
      </c>
      <c r="N306" s="462">
        <f t="shared" si="116"/>
        <v>0</v>
      </c>
      <c r="O306" s="461">
        <f t="shared" si="117"/>
        <v>0</v>
      </c>
      <c r="P306" s="462">
        <f t="shared" si="118"/>
        <v>0</v>
      </c>
      <c r="R306" s="465" t="s">
        <v>306</v>
      </c>
      <c r="S306" s="461">
        <v>0</v>
      </c>
      <c r="T306" s="462">
        <v>406626.60000000003</v>
      </c>
      <c r="U306" s="461">
        <v>0</v>
      </c>
      <c r="V306" s="462">
        <v>425615.3</v>
      </c>
    </row>
    <row r="307" spans="1:22" x14ac:dyDescent="0.2">
      <c r="A307" s="465" t="s">
        <v>307</v>
      </c>
      <c r="B307" s="461">
        <v>0</v>
      </c>
      <c r="C307" s="462">
        <v>699469.61182651413</v>
      </c>
      <c r="D307" s="461">
        <v>0</v>
      </c>
      <c r="E307" s="462">
        <v>727304.72213944478</v>
      </c>
      <c r="F307" s="461">
        <v>0</v>
      </c>
      <c r="G307" s="462">
        <v>836634.36131442885</v>
      </c>
      <c r="H307" s="461">
        <v>0</v>
      </c>
      <c r="I307" s="462">
        <v>841126.11999999988</v>
      </c>
      <c r="J307" s="461">
        <v>0</v>
      </c>
      <c r="K307" s="462">
        <v>899520.8</v>
      </c>
      <c r="L307" s="435"/>
      <c r="M307" s="461">
        <f t="shared" si="115"/>
        <v>0</v>
      </c>
      <c r="N307" s="462">
        <f t="shared" si="116"/>
        <v>0</v>
      </c>
      <c r="O307" s="461">
        <f t="shared" si="117"/>
        <v>0</v>
      </c>
      <c r="P307" s="462">
        <f t="shared" si="118"/>
        <v>0</v>
      </c>
      <c r="R307" s="465" t="s">
        <v>307</v>
      </c>
      <c r="S307" s="461">
        <v>0</v>
      </c>
      <c r="T307" s="462">
        <v>841126.11999999988</v>
      </c>
      <c r="U307" s="461">
        <v>0</v>
      </c>
      <c r="V307" s="462">
        <v>899520.8</v>
      </c>
    </row>
    <row r="308" spans="1:22" x14ac:dyDescent="0.2">
      <c r="A308" s="465" t="s">
        <v>308</v>
      </c>
      <c r="B308" s="461">
        <v>0</v>
      </c>
      <c r="C308" s="462">
        <v>0</v>
      </c>
      <c r="D308" s="461">
        <v>0</v>
      </c>
      <c r="E308" s="462">
        <v>0</v>
      </c>
      <c r="F308" s="461">
        <v>0</v>
      </c>
      <c r="G308" s="462">
        <v>0</v>
      </c>
      <c r="H308" s="461">
        <v>0</v>
      </c>
      <c r="I308" s="462">
        <v>0</v>
      </c>
      <c r="J308" s="461">
        <v>0</v>
      </c>
      <c r="K308" s="462">
        <v>0</v>
      </c>
      <c r="L308" s="435"/>
      <c r="M308" s="461">
        <f t="shared" si="115"/>
        <v>0</v>
      </c>
      <c r="N308" s="462">
        <f t="shared" si="116"/>
        <v>0</v>
      </c>
      <c r="O308" s="461">
        <f t="shared" si="117"/>
        <v>0</v>
      </c>
      <c r="P308" s="462">
        <f t="shared" si="118"/>
        <v>0</v>
      </c>
      <c r="R308" s="465" t="s">
        <v>308</v>
      </c>
      <c r="S308" s="461">
        <v>0</v>
      </c>
      <c r="T308" s="462">
        <v>0</v>
      </c>
      <c r="U308" s="461">
        <v>0</v>
      </c>
      <c r="V308" s="462">
        <v>0</v>
      </c>
    </row>
    <row r="309" spans="1:22" x14ac:dyDescent="0.2">
      <c r="A309" s="465" t="s">
        <v>309</v>
      </c>
      <c r="B309" s="461">
        <v>0</v>
      </c>
      <c r="C309" s="462">
        <v>144894.07884011473</v>
      </c>
      <c r="D309" s="461">
        <v>0</v>
      </c>
      <c r="E309" s="462">
        <v>127603.98021477794</v>
      </c>
      <c r="F309" s="461">
        <v>0</v>
      </c>
      <c r="G309" s="462">
        <v>106379.78281753599</v>
      </c>
      <c r="H309" s="461">
        <v>0</v>
      </c>
      <c r="I309" s="462">
        <v>131417.91999999998</v>
      </c>
      <c r="J309" s="461">
        <v>0</v>
      </c>
      <c r="K309" s="462">
        <v>138359.83000000002</v>
      </c>
      <c r="L309" s="435"/>
      <c r="M309" s="461">
        <f t="shared" si="115"/>
        <v>0</v>
      </c>
      <c r="N309" s="462">
        <f t="shared" si="116"/>
        <v>0</v>
      </c>
      <c r="O309" s="461">
        <f t="shared" si="117"/>
        <v>0</v>
      </c>
      <c r="P309" s="462">
        <f t="shared" si="118"/>
        <v>0</v>
      </c>
      <c r="R309" s="465" t="s">
        <v>309</v>
      </c>
      <c r="S309" s="461">
        <v>0</v>
      </c>
      <c r="T309" s="462">
        <v>131417.91999999998</v>
      </c>
      <c r="U309" s="461">
        <v>0</v>
      </c>
      <c r="V309" s="462">
        <v>138359.83000000002</v>
      </c>
    </row>
    <row r="310" spans="1:22" x14ac:dyDescent="0.2">
      <c r="A310" s="466" t="s">
        <v>310</v>
      </c>
      <c r="B310" s="461">
        <v>0</v>
      </c>
      <c r="C310" s="462">
        <v>48428.734749951203</v>
      </c>
      <c r="D310" s="461">
        <v>0</v>
      </c>
      <c r="E310" s="462">
        <v>51839.189426474841</v>
      </c>
      <c r="F310" s="461">
        <v>0</v>
      </c>
      <c r="G310" s="462">
        <v>58647.144663158724</v>
      </c>
      <c r="H310" s="461">
        <v>0</v>
      </c>
      <c r="I310" s="492">
        <v>49503.55</v>
      </c>
      <c r="J310" s="461">
        <v>0</v>
      </c>
      <c r="K310" s="492">
        <v>50880.5</v>
      </c>
      <c r="L310" s="435"/>
      <c r="M310" s="461">
        <f t="shared" si="115"/>
        <v>0</v>
      </c>
      <c r="N310" s="492">
        <f t="shared" si="116"/>
        <v>0</v>
      </c>
      <c r="O310" s="461">
        <f t="shared" si="117"/>
        <v>0</v>
      </c>
      <c r="P310" s="492">
        <f t="shared" si="118"/>
        <v>0</v>
      </c>
      <c r="R310" s="466" t="s">
        <v>310</v>
      </c>
      <c r="S310" s="461">
        <v>0</v>
      </c>
      <c r="T310" s="492">
        <v>49503.55</v>
      </c>
      <c r="U310" s="461">
        <v>0</v>
      </c>
      <c r="V310" s="492">
        <v>50880.5</v>
      </c>
    </row>
    <row r="311" spans="1:22" ht="3" customHeight="1" x14ac:dyDescent="0.2">
      <c r="A311" s="469"/>
      <c r="B311" s="470"/>
      <c r="C311" s="471"/>
      <c r="D311" s="470"/>
      <c r="E311" s="471"/>
      <c r="F311" s="470"/>
      <c r="G311" s="471"/>
      <c r="H311" s="470"/>
      <c r="I311" s="471"/>
      <c r="J311" s="470"/>
      <c r="K311" s="471"/>
      <c r="L311" s="435"/>
      <c r="M311" s="470"/>
      <c r="N311" s="471"/>
      <c r="O311" s="470"/>
      <c r="P311" s="471"/>
      <c r="R311" s="469"/>
      <c r="S311" s="470"/>
      <c r="T311" s="471"/>
      <c r="U311" s="470"/>
      <c r="V311" s="471"/>
    </row>
    <row r="312" spans="1:22" ht="12" thickBot="1" x14ac:dyDescent="0.25">
      <c r="A312" s="472" t="s">
        <v>205</v>
      </c>
      <c r="B312" s="473">
        <f t="shared" ref="B312:G312" si="119">SUM(B301:B311)</f>
        <v>0</v>
      </c>
      <c r="C312" s="474">
        <f t="shared" si="119"/>
        <v>1799241.4125909228</v>
      </c>
      <c r="D312" s="473">
        <f t="shared" si="119"/>
        <v>0</v>
      </c>
      <c r="E312" s="474">
        <f t="shared" si="119"/>
        <v>1921181.5682950458</v>
      </c>
      <c r="F312" s="473">
        <f t="shared" si="119"/>
        <v>0</v>
      </c>
      <c r="G312" s="474">
        <f t="shared" si="119"/>
        <v>2086762.5779200001</v>
      </c>
      <c r="H312" s="473">
        <v>0</v>
      </c>
      <c r="I312" s="474">
        <v>2045983.44</v>
      </c>
      <c r="J312" s="473">
        <v>0</v>
      </c>
      <c r="K312" s="474">
        <v>2151668.9</v>
      </c>
      <c r="L312" s="435"/>
      <c r="M312" s="473">
        <f>IFERROR(H312-S312,"")</f>
        <v>0</v>
      </c>
      <c r="N312" s="474">
        <f>IFERROR(I312-T312,"")</f>
        <v>0</v>
      </c>
      <c r="O312" s="473">
        <f>IFERROR(J312-U312,"")</f>
        <v>0</v>
      </c>
      <c r="P312" s="474">
        <f>IFERROR(K312-V312,"")</f>
        <v>0</v>
      </c>
      <c r="R312" s="472" t="s">
        <v>205</v>
      </c>
      <c r="S312" s="473">
        <v>0</v>
      </c>
      <c r="T312" s="474">
        <v>2045983.44</v>
      </c>
      <c r="U312" s="473">
        <v>0</v>
      </c>
      <c r="V312" s="474">
        <v>2151668.9</v>
      </c>
    </row>
    <row r="313" spans="1:22" ht="12" thickTop="1" x14ac:dyDescent="0.2">
      <c r="A313" s="475"/>
      <c r="B313" s="477"/>
      <c r="C313" s="476"/>
      <c r="D313" s="477"/>
      <c r="E313" s="476"/>
      <c r="F313" s="477"/>
      <c r="G313" s="476"/>
      <c r="H313" s="477"/>
      <c r="I313" s="476"/>
      <c r="J313" s="477"/>
      <c r="K313" s="476"/>
      <c r="L313" s="435"/>
      <c r="M313" s="477"/>
      <c r="N313" s="476"/>
      <c r="O313" s="477"/>
      <c r="P313" s="476"/>
      <c r="R313" s="475"/>
      <c r="S313" s="477"/>
      <c r="T313" s="476"/>
      <c r="U313" s="477"/>
      <c r="V313" s="476"/>
    </row>
    <row r="314" spans="1:22" x14ac:dyDescent="0.2">
      <c r="A314" s="476"/>
      <c r="B314" s="477"/>
      <c r="C314" s="476"/>
      <c r="D314" s="477"/>
      <c r="E314" s="476"/>
      <c r="F314" s="477"/>
      <c r="G314" s="476"/>
      <c r="H314" s="477"/>
      <c r="I314" s="476"/>
      <c r="J314" s="477"/>
      <c r="K314" s="476"/>
      <c r="L314" s="435"/>
      <c r="M314" s="477"/>
      <c r="N314" s="476"/>
      <c r="O314" s="477"/>
      <c r="P314" s="476"/>
      <c r="R314" s="476"/>
      <c r="S314" s="477"/>
      <c r="T314" s="476"/>
      <c r="U314" s="477"/>
      <c r="V314" s="476"/>
    </row>
    <row r="315" spans="1:22" ht="11.25" customHeight="1" x14ac:dyDescent="0.2">
      <c r="A315" s="480"/>
      <c r="B315" s="477"/>
      <c r="C315" s="476"/>
      <c r="D315" s="477"/>
      <c r="E315" s="476"/>
      <c r="F315" s="477"/>
      <c r="G315" s="476"/>
      <c r="H315" s="477"/>
      <c r="I315" s="476"/>
      <c r="J315" s="477"/>
      <c r="K315" s="476"/>
      <c r="L315" s="435"/>
      <c r="M315" s="477"/>
      <c r="N315" s="476"/>
      <c r="O315" s="477"/>
      <c r="P315" s="476"/>
      <c r="R315" s="480"/>
      <c r="S315" s="477"/>
      <c r="T315" s="476"/>
      <c r="U315" s="477"/>
      <c r="V315" s="476"/>
    </row>
    <row r="316" spans="1:22" ht="12.75" x14ac:dyDescent="0.2">
      <c r="A316" s="1551" t="s">
        <v>317</v>
      </c>
      <c r="B316" s="489"/>
      <c r="C316" s="488"/>
      <c r="D316" s="489"/>
      <c r="E316" s="488"/>
      <c r="F316" s="489"/>
      <c r="G316" s="488"/>
      <c r="H316" s="489"/>
      <c r="I316" s="488"/>
      <c r="J316" s="489"/>
      <c r="K316" s="488"/>
      <c r="L316" s="435" t="s">
        <v>143</v>
      </c>
      <c r="M316" s="489"/>
      <c r="N316" s="488"/>
      <c r="O316" s="489"/>
      <c r="P316" s="488"/>
      <c r="R316" s="1547" t="s">
        <v>318</v>
      </c>
      <c r="S316" s="489"/>
      <c r="T316" s="488"/>
      <c r="U316" s="489"/>
      <c r="V316" s="488"/>
    </row>
    <row r="317" spans="1:22" ht="11.25" customHeight="1" x14ac:dyDescent="0.2">
      <c r="A317" s="1548"/>
      <c r="B317" s="491"/>
      <c r="C317" s="490"/>
      <c r="D317" s="491"/>
      <c r="E317" s="490"/>
      <c r="F317" s="491"/>
      <c r="G317" s="490"/>
      <c r="H317" s="491"/>
      <c r="I317" s="490"/>
      <c r="J317" s="491"/>
      <c r="K317" s="490"/>
      <c r="L317" s="435"/>
      <c r="M317" s="491"/>
      <c r="N317" s="490"/>
      <c r="O317" s="491"/>
      <c r="P317" s="490"/>
      <c r="R317" s="1548"/>
      <c r="S317" s="491"/>
      <c r="T317" s="490"/>
      <c r="U317" s="491"/>
      <c r="V317" s="490"/>
    </row>
    <row r="318" spans="1:22" x14ac:dyDescent="0.2">
      <c r="A318" s="454" t="s">
        <v>300</v>
      </c>
      <c r="B318" s="487"/>
      <c r="C318" s="486"/>
      <c r="D318" s="487"/>
      <c r="E318" s="486"/>
      <c r="F318" s="487"/>
      <c r="G318" s="486"/>
      <c r="H318" s="487"/>
      <c r="I318" s="486"/>
      <c r="J318" s="487"/>
      <c r="K318" s="486"/>
      <c r="L318" s="435"/>
      <c r="M318" s="487"/>
      <c r="N318" s="486"/>
      <c r="O318" s="487"/>
      <c r="P318" s="486"/>
      <c r="R318" s="454" t="s">
        <v>300</v>
      </c>
      <c r="S318" s="487"/>
      <c r="T318" s="486"/>
      <c r="U318" s="487"/>
      <c r="V318" s="486"/>
    </row>
    <row r="319" spans="1:22" x14ac:dyDescent="0.2">
      <c r="A319" s="455" t="s">
        <v>301</v>
      </c>
      <c r="B319" s="456">
        <v>2</v>
      </c>
      <c r="C319" s="457">
        <f>SUM(C334,C349,C364,C379)</f>
        <v>169844.15932141687</v>
      </c>
      <c r="D319" s="456">
        <v>2</v>
      </c>
      <c r="E319" s="457">
        <f t="shared" ref="E319:E328" si="120">SUM(E334,E349,E364,E379)</f>
        <v>180494.64754370094</v>
      </c>
      <c r="F319" s="456">
        <v>2</v>
      </c>
      <c r="G319" s="457">
        <f t="shared" ref="G319:G328" si="121">SUM(G334,G349,G364,G379)</f>
        <v>203436.46694427734</v>
      </c>
      <c r="H319" s="456">
        <v>2</v>
      </c>
      <c r="I319" s="457">
        <v>194874.53</v>
      </c>
      <c r="J319" s="456">
        <v>2</v>
      </c>
      <c r="K319" s="457">
        <v>200035.55999999997</v>
      </c>
      <c r="L319" s="435"/>
      <c r="M319" s="456">
        <f t="shared" ref="M319:M328" si="122">IFERROR(H319-S319,"")</f>
        <v>0</v>
      </c>
      <c r="N319" s="457">
        <f t="shared" ref="N319:N328" si="123">IFERROR(I319-T319,"")</f>
        <v>0</v>
      </c>
      <c r="O319" s="456">
        <f t="shared" ref="O319:O328" si="124">IFERROR(J319-U319,"")</f>
        <v>0</v>
      </c>
      <c r="P319" s="457">
        <f t="shared" ref="P319:P328" si="125">IFERROR(K319-V319,"")</f>
        <v>0</v>
      </c>
      <c r="R319" s="455" t="s">
        <v>301</v>
      </c>
      <c r="S319" s="456">
        <v>2</v>
      </c>
      <c r="T319" s="457">
        <v>194874.53</v>
      </c>
      <c r="U319" s="456">
        <v>2</v>
      </c>
      <c r="V319" s="457">
        <v>200035.55999999997</v>
      </c>
    </row>
    <row r="320" spans="1:22" x14ac:dyDescent="0.2">
      <c r="A320" s="465" t="s">
        <v>302</v>
      </c>
      <c r="B320" s="461">
        <v>0</v>
      </c>
      <c r="C320" s="462">
        <f t="shared" ref="C320:C328" si="126">SUM(C335,C350,C365,C380)</f>
        <v>0</v>
      </c>
      <c r="D320" s="461">
        <v>0</v>
      </c>
      <c r="E320" s="462">
        <f t="shared" si="120"/>
        <v>0</v>
      </c>
      <c r="F320" s="461">
        <v>0</v>
      </c>
      <c r="G320" s="462">
        <f t="shared" si="121"/>
        <v>0</v>
      </c>
      <c r="H320" s="461">
        <v>0</v>
      </c>
      <c r="I320" s="462">
        <v>0</v>
      </c>
      <c r="J320" s="461">
        <v>0</v>
      </c>
      <c r="K320" s="462">
        <v>0</v>
      </c>
      <c r="L320" s="435"/>
      <c r="M320" s="461">
        <f t="shared" si="122"/>
        <v>0</v>
      </c>
      <c r="N320" s="462">
        <f t="shared" si="123"/>
        <v>0</v>
      </c>
      <c r="O320" s="461">
        <f t="shared" si="124"/>
        <v>0</v>
      </c>
      <c r="P320" s="462">
        <f t="shared" si="125"/>
        <v>0</v>
      </c>
      <c r="R320" s="465" t="s">
        <v>302</v>
      </c>
      <c r="S320" s="461">
        <v>0</v>
      </c>
      <c r="T320" s="462">
        <v>0</v>
      </c>
      <c r="U320" s="461">
        <v>0</v>
      </c>
      <c r="V320" s="462">
        <v>0</v>
      </c>
    </row>
    <row r="321" spans="1:22" x14ac:dyDescent="0.2">
      <c r="A321" s="460" t="s">
        <v>303</v>
      </c>
      <c r="B321" s="461">
        <v>0</v>
      </c>
      <c r="C321" s="462">
        <f t="shared" si="126"/>
        <v>0</v>
      </c>
      <c r="D321" s="461">
        <v>0</v>
      </c>
      <c r="E321" s="462">
        <f t="shared" si="120"/>
        <v>0</v>
      </c>
      <c r="F321" s="461">
        <v>0</v>
      </c>
      <c r="G321" s="462">
        <f t="shared" si="121"/>
        <v>0</v>
      </c>
      <c r="H321" s="461">
        <v>0</v>
      </c>
      <c r="I321" s="462">
        <v>0</v>
      </c>
      <c r="J321" s="461">
        <v>0</v>
      </c>
      <c r="K321" s="462">
        <v>0</v>
      </c>
      <c r="L321" s="435"/>
      <c r="M321" s="461">
        <f t="shared" si="122"/>
        <v>0</v>
      </c>
      <c r="N321" s="462">
        <f t="shared" si="123"/>
        <v>0</v>
      </c>
      <c r="O321" s="461">
        <f t="shared" si="124"/>
        <v>0</v>
      </c>
      <c r="P321" s="462">
        <f t="shared" si="125"/>
        <v>0</v>
      </c>
      <c r="R321" s="460" t="s">
        <v>303</v>
      </c>
      <c r="S321" s="461">
        <v>0</v>
      </c>
      <c r="T321" s="462">
        <v>0</v>
      </c>
      <c r="U321" s="461">
        <v>0</v>
      </c>
      <c r="V321" s="462">
        <v>0</v>
      </c>
    </row>
    <row r="322" spans="1:22" x14ac:dyDescent="0.2">
      <c r="A322" s="465" t="s">
        <v>304</v>
      </c>
      <c r="B322" s="461">
        <v>0</v>
      </c>
      <c r="C322" s="462">
        <f t="shared" si="126"/>
        <v>105284.28738882717</v>
      </c>
      <c r="D322" s="461">
        <v>0</v>
      </c>
      <c r="E322" s="462">
        <f t="shared" si="120"/>
        <v>103882.1748752352</v>
      </c>
      <c r="F322" s="461">
        <v>0</v>
      </c>
      <c r="G322" s="462">
        <f t="shared" si="121"/>
        <v>108272.93349075866</v>
      </c>
      <c r="H322" s="461">
        <v>0</v>
      </c>
      <c r="I322" s="462">
        <v>0</v>
      </c>
      <c r="J322" s="461">
        <v>0</v>
      </c>
      <c r="K322" s="462">
        <v>0</v>
      </c>
      <c r="L322" s="435"/>
      <c r="M322" s="461">
        <f t="shared" si="122"/>
        <v>0</v>
      </c>
      <c r="N322" s="462">
        <f t="shared" si="123"/>
        <v>0</v>
      </c>
      <c r="O322" s="461">
        <f t="shared" si="124"/>
        <v>0</v>
      </c>
      <c r="P322" s="462">
        <f t="shared" si="125"/>
        <v>0</v>
      </c>
      <c r="R322" s="465" t="s">
        <v>304</v>
      </c>
      <c r="S322" s="461">
        <v>0</v>
      </c>
      <c r="T322" s="462">
        <v>0</v>
      </c>
      <c r="U322" s="461">
        <v>0</v>
      </c>
      <c r="V322" s="462">
        <v>0</v>
      </c>
    </row>
    <row r="323" spans="1:22" x14ac:dyDescent="0.2">
      <c r="A323" s="465" t="s">
        <v>305</v>
      </c>
      <c r="B323" s="461">
        <v>0</v>
      </c>
      <c r="C323" s="462">
        <f t="shared" si="126"/>
        <v>0</v>
      </c>
      <c r="D323" s="461">
        <v>0</v>
      </c>
      <c r="E323" s="462">
        <f t="shared" si="120"/>
        <v>0</v>
      </c>
      <c r="F323" s="461">
        <v>0</v>
      </c>
      <c r="G323" s="462">
        <f t="shared" si="121"/>
        <v>0</v>
      </c>
      <c r="H323" s="461">
        <v>0</v>
      </c>
      <c r="I323" s="462">
        <v>0</v>
      </c>
      <c r="J323" s="461">
        <v>0</v>
      </c>
      <c r="K323" s="462">
        <v>0</v>
      </c>
      <c r="L323" s="435"/>
      <c r="M323" s="461">
        <f t="shared" si="122"/>
        <v>0</v>
      </c>
      <c r="N323" s="462">
        <f t="shared" si="123"/>
        <v>0</v>
      </c>
      <c r="O323" s="461">
        <f t="shared" si="124"/>
        <v>0</v>
      </c>
      <c r="P323" s="462">
        <f t="shared" si="125"/>
        <v>0</v>
      </c>
      <c r="R323" s="465" t="s">
        <v>305</v>
      </c>
      <c r="S323" s="461">
        <v>0</v>
      </c>
      <c r="T323" s="462">
        <v>0</v>
      </c>
      <c r="U323" s="461">
        <v>0</v>
      </c>
      <c r="V323" s="462">
        <v>0</v>
      </c>
    </row>
    <row r="324" spans="1:22" x14ac:dyDescent="0.2">
      <c r="A324" s="465" t="s">
        <v>306</v>
      </c>
      <c r="B324" s="461">
        <v>0</v>
      </c>
      <c r="C324" s="462">
        <f t="shared" si="126"/>
        <v>0</v>
      </c>
      <c r="D324" s="461">
        <v>0</v>
      </c>
      <c r="E324" s="462">
        <f t="shared" si="120"/>
        <v>0</v>
      </c>
      <c r="F324" s="461">
        <v>0</v>
      </c>
      <c r="G324" s="462">
        <f t="shared" si="121"/>
        <v>0</v>
      </c>
      <c r="H324" s="461">
        <v>0</v>
      </c>
      <c r="I324" s="462">
        <v>0</v>
      </c>
      <c r="J324" s="461">
        <v>0</v>
      </c>
      <c r="K324" s="462">
        <v>0</v>
      </c>
      <c r="L324" s="435"/>
      <c r="M324" s="461">
        <f t="shared" si="122"/>
        <v>0</v>
      </c>
      <c r="N324" s="462">
        <f t="shared" si="123"/>
        <v>0</v>
      </c>
      <c r="O324" s="461">
        <f t="shared" si="124"/>
        <v>0</v>
      </c>
      <c r="P324" s="462">
        <f t="shared" si="125"/>
        <v>0</v>
      </c>
      <c r="R324" s="465" t="s">
        <v>306</v>
      </c>
      <c r="S324" s="461">
        <v>0</v>
      </c>
      <c r="T324" s="462">
        <v>0</v>
      </c>
      <c r="U324" s="461">
        <v>0</v>
      </c>
      <c r="V324" s="462">
        <v>0</v>
      </c>
    </row>
    <row r="325" spans="1:22" x14ac:dyDescent="0.2">
      <c r="A325" s="465" t="s">
        <v>307</v>
      </c>
      <c r="B325" s="461">
        <v>0</v>
      </c>
      <c r="C325" s="462">
        <f t="shared" si="126"/>
        <v>0</v>
      </c>
      <c r="D325" s="461">
        <v>0</v>
      </c>
      <c r="E325" s="462">
        <f t="shared" si="120"/>
        <v>0</v>
      </c>
      <c r="F325" s="461">
        <v>0</v>
      </c>
      <c r="G325" s="462">
        <f t="shared" si="121"/>
        <v>0</v>
      </c>
      <c r="H325" s="461">
        <v>0</v>
      </c>
      <c r="I325" s="462">
        <v>0</v>
      </c>
      <c r="J325" s="461">
        <v>0</v>
      </c>
      <c r="K325" s="462">
        <v>0</v>
      </c>
      <c r="L325" s="435"/>
      <c r="M325" s="461">
        <f t="shared" si="122"/>
        <v>0</v>
      </c>
      <c r="N325" s="462">
        <f t="shared" si="123"/>
        <v>0</v>
      </c>
      <c r="O325" s="461">
        <f t="shared" si="124"/>
        <v>0</v>
      </c>
      <c r="P325" s="462">
        <f t="shared" si="125"/>
        <v>0</v>
      </c>
      <c r="R325" s="465" t="s">
        <v>307</v>
      </c>
      <c r="S325" s="461">
        <v>0</v>
      </c>
      <c r="T325" s="462">
        <v>0</v>
      </c>
      <c r="U325" s="461">
        <v>0</v>
      </c>
      <c r="V325" s="462">
        <v>0</v>
      </c>
    </row>
    <row r="326" spans="1:22" x14ac:dyDescent="0.2">
      <c r="A326" s="465" t="s">
        <v>308</v>
      </c>
      <c r="B326" s="461">
        <v>16.75</v>
      </c>
      <c r="C326" s="462">
        <f t="shared" si="126"/>
        <v>1218607.4579557187</v>
      </c>
      <c r="D326" s="461">
        <v>16.916666666666664</v>
      </c>
      <c r="E326" s="462">
        <f t="shared" si="120"/>
        <v>1282441.0018781726</v>
      </c>
      <c r="F326" s="461">
        <v>15.916666666666666</v>
      </c>
      <c r="G326" s="462">
        <f t="shared" si="121"/>
        <v>1227443.2386184037</v>
      </c>
      <c r="H326" s="461">
        <v>16</v>
      </c>
      <c r="I326" s="462">
        <v>1483530.63</v>
      </c>
      <c r="J326" s="461">
        <v>18</v>
      </c>
      <c r="K326" s="462">
        <v>1765029.8299999998</v>
      </c>
      <c r="L326" s="435"/>
      <c r="M326" s="461">
        <f t="shared" si="122"/>
        <v>0</v>
      </c>
      <c r="N326" s="462">
        <f t="shared" si="123"/>
        <v>0</v>
      </c>
      <c r="O326" s="461">
        <f t="shared" si="124"/>
        <v>1</v>
      </c>
      <c r="P326" s="462">
        <f t="shared" si="125"/>
        <v>185620.62999999966</v>
      </c>
      <c r="R326" s="465" t="s">
        <v>308</v>
      </c>
      <c r="S326" s="461">
        <v>16</v>
      </c>
      <c r="T326" s="462">
        <v>1483530.63</v>
      </c>
      <c r="U326" s="461">
        <v>17</v>
      </c>
      <c r="V326" s="462">
        <v>1579409.2000000002</v>
      </c>
    </row>
    <row r="327" spans="1:22" x14ac:dyDescent="0.2">
      <c r="A327" s="465" t="s">
        <v>309</v>
      </c>
      <c r="B327" s="461">
        <v>0</v>
      </c>
      <c r="C327" s="462">
        <f t="shared" si="126"/>
        <v>0</v>
      </c>
      <c r="D327" s="461">
        <v>0</v>
      </c>
      <c r="E327" s="462">
        <f t="shared" si="120"/>
        <v>0</v>
      </c>
      <c r="F327" s="461">
        <v>0</v>
      </c>
      <c r="G327" s="462">
        <f t="shared" si="121"/>
        <v>0</v>
      </c>
      <c r="H327" s="461">
        <v>0</v>
      </c>
      <c r="I327" s="462">
        <v>0</v>
      </c>
      <c r="J327" s="461">
        <v>0</v>
      </c>
      <c r="K327" s="462">
        <v>0</v>
      </c>
      <c r="L327" s="435"/>
      <c r="M327" s="461">
        <f t="shared" si="122"/>
        <v>0</v>
      </c>
      <c r="N327" s="462">
        <f t="shared" si="123"/>
        <v>0</v>
      </c>
      <c r="O327" s="461">
        <f t="shared" si="124"/>
        <v>0</v>
      </c>
      <c r="P327" s="462">
        <f t="shared" si="125"/>
        <v>0</v>
      </c>
      <c r="R327" s="465" t="s">
        <v>309</v>
      </c>
      <c r="S327" s="461">
        <v>0</v>
      </c>
      <c r="T327" s="462">
        <v>0</v>
      </c>
      <c r="U327" s="461">
        <v>0</v>
      </c>
      <c r="V327" s="462">
        <v>0</v>
      </c>
    </row>
    <row r="328" spans="1:22" x14ac:dyDescent="0.2">
      <c r="A328" s="466" t="s">
        <v>310</v>
      </c>
      <c r="B328" s="461">
        <v>0</v>
      </c>
      <c r="C328" s="462">
        <f t="shared" si="126"/>
        <v>0</v>
      </c>
      <c r="D328" s="461">
        <v>0</v>
      </c>
      <c r="E328" s="462">
        <f t="shared" si="120"/>
        <v>0</v>
      </c>
      <c r="F328" s="461">
        <v>0</v>
      </c>
      <c r="G328" s="462">
        <f t="shared" si="121"/>
        <v>0</v>
      </c>
      <c r="H328" s="461">
        <v>0</v>
      </c>
      <c r="I328" s="492">
        <v>0</v>
      </c>
      <c r="J328" s="461">
        <v>0</v>
      </c>
      <c r="K328" s="492">
        <v>0</v>
      </c>
      <c r="L328" s="435"/>
      <c r="M328" s="461">
        <f t="shared" si="122"/>
        <v>0</v>
      </c>
      <c r="N328" s="492">
        <f t="shared" si="123"/>
        <v>0</v>
      </c>
      <c r="O328" s="461">
        <f t="shared" si="124"/>
        <v>0</v>
      </c>
      <c r="P328" s="492">
        <f t="shared" si="125"/>
        <v>0</v>
      </c>
      <c r="R328" s="466" t="s">
        <v>310</v>
      </c>
      <c r="S328" s="461">
        <v>0</v>
      </c>
      <c r="T328" s="492">
        <v>0</v>
      </c>
      <c r="U328" s="461">
        <v>0</v>
      </c>
      <c r="V328" s="492">
        <v>0</v>
      </c>
    </row>
    <row r="329" spans="1:22" ht="3" customHeight="1" x14ac:dyDescent="0.2">
      <c r="A329" s="469"/>
      <c r="B329" s="470"/>
      <c r="C329" s="471"/>
      <c r="D329" s="470"/>
      <c r="E329" s="471"/>
      <c r="F329" s="470"/>
      <c r="G329" s="471"/>
      <c r="H329" s="470"/>
      <c r="I329" s="471"/>
      <c r="J329" s="470"/>
      <c r="K329" s="471"/>
      <c r="L329" s="435"/>
      <c r="M329" s="470"/>
      <c r="N329" s="471"/>
      <c r="O329" s="470"/>
      <c r="P329" s="471"/>
      <c r="R329" s="469"/>
      <c r="S329" s="470"/>
      <c r="T329" s="471"/>
      <c r="U329" s="470"/>
      <c r="V329" s="471"/>
    </row>
    <row r="330" spans="1:22" ht="12" thickBot="1" x14ac:dyDescent="0.25">
      <c r="A330" s="472" t="s">
        <v>205</v>
      </c>
      <c r="B330" s="473">
        <f t="shared" ref="B330:G330" si="127">SUM(B319:B329)</f>
        <v>18.75</v>
      </c>
      <c r="C330" s="474">
        <f t="shared" si="127"/>
        <v>1493735.9046659628</v>
      </c>
      <c r="D330" s="473">
        <f t="shared" si="127"/>
        <v>18.916666666666664</v>
      </c>
      <c r="E330" s="474">
        <f t="shared" si="127"/>
        <v>1566817.8242971087</v>
      </c>
      <c r="F330" s="473">
        <f t="shared" si="127"/>
        <v>17.916666666666664</v>
      </c>
      <c r="G330" s="474">
        <f t="shared" si="127"/>
        <v>1539152.6390534397</v>
      </c>
      <c r="H330" s="473">
        <v>18</v>
      </c>
      <c r="I330" s="474">
        <v>1678405.16</v>
      </c>
      <c r="J330" s="473">
        <v>20</v>
      </c>
      <c r="K330" s="474">
        <v>1965065.39</v>
      </c>
      <c r="L330" s="435"/>
      <c r="M330" s="473">
        <f>IFERROR(H330-S330,"")</f>
        <v>0</v>
      </c>
      <c r="N330" s="474">
        <f>IFERROR(I330-T330,"")</f>
        <v>0</v>
      </c>
      <c r="O330" s="473">
        <f>IFERROR(J330-U330,"")</f>
        <v>1</v>
      </c>
      <c r="P330" s="474">
        <f>IFERROR(K330-V330,"")</f>
        <v>185620.62999999966</v>
      </c>
      <c r="R330" s="472" t="s">
        <v>205</v>
      </c>
      <c r="S330" s="473">
        <v>18</v>
      </c>
      <c r="T330" s="474">
        <v>1678405.16</v>
      </c>
      <c r="U330" s="473">
        <v>19</v>
      </c>
      <c r="V330" s="474">
        <v>1779444.7600000002</v>
      </c>
    </row>
    <row r="331" spans="1:22" ht="12" thickTop="1" x14ac:dyDescent="0.2">
      <c r="A331" s="475"/>
      <c r="B331" s="477"/>
      <c r="C331" s="476"/>
      <c r="D331" s="477"/>
      <c r="E331" s="476"/>
      <c r="F331" s="477"/>
      <c r="G331" s="476"/>
      <c r="H331" s="477"/>
      <c r="I331" s="476"/>
      <c r="J331" s="477"/>
      <c r="K331" s="476"/>
      <c r="L331" s="435"/>
      <c r="M331" s="477"/>
      <c r="N331" s="476"/>
      <c r="O331" s="477"/>
      <c r="P331" s="476"/>
      <c r="R331" s="475"/>
      <c r="S331" s="477"/>
      <c r="T331" s="476"/>
      <c r="U331" s="477"/>
      <c r="V331" s="476"/>
    </row>
    <row r="332" spans="1:22" x14ac:dyDescent="0.2">
      <c r="A332" s="476"/>
      <c r="B332" s="477"/>
      <c r="C332" s="476"/>
      <c r="D332" s="477"/>
      <c r="E332" s="476"/>
      <c r="F332" s="477"/>
      <c r="G332" s="476"/>
      <c r="H332" s="477"/>
      <c r="I332" s="476"/>
      <c r="J332" s="477"/>
      <c r="K332" s="476"/>
      <c r="L332" s="435"/>
      <c r="M332" s="477"/>
      <c r="N332" s="476"/>
      <c r="O332" s="477"/>
      <c r="P332" s="476"/>
      <c r="R332" s="476"/>
      <c r="S332" s="477"/>
      <c r="T332" s="476"/>
      <c r="U332" s="477"/>
      <c r="V332" s="476"/>
    </row>
    <row r="333" spans="1:22" x14ac:dyDescent="0.2">
      <c r="A333" s="480" t="s">
        <v>311</v>
      </c>
      <c r="B333" s="482"/>
      <c r="C333" s="481"/>
      <c r="D333" s="482"/>
      <c r="E333" s="481"/>
      <c r="F333" s="482"/>
      <c r="G333" s="481"/>
      <c r="H333" s="482"/>
      <c r="I333" s="481"/>
      <c r="J333" s="482"/>
      <c r="K333" s="481"/>
      <c r="L333" s="435"/>
      <c r="M333" s="482"/>
      <c r="N333" s="481"/>
      <c r="O333" s="482"/>
      <c r="P333" s="481"/>
      <c r="R333" s="480" t="s">
        <v>311</v>
      </c>
      <c r="S333" s="482"/>
      <c r="T333" s="481"/>
      <c r="U333" s="482"/>
      <c r="V333" s="481"/>
    </row>
    <row r="334" spans="1:22" x14ac:dyDescent="0.2">
      <c r="A334" s="455" t="s">
        <v>301</v>
      </c>
      <c r="B334" s="456">
        <v>2</v>
      </c>
      <c r="C334" s="457">
        <v>140649.45490994232</v>
      </c>
      <c r="D334" s="456">
        <v>2</v>
      </c>
      <c r="E334" s="457">
        <v>154113.30814382041</v>
      </c>
      <c r="F334" s="456">
        <v>2</v>
      </c>
      <c r="G334" s="457">
        <v>172538.37430349755</v>
      </c>
      <c r="H334" s="456">
        <v>2</v>
      </c>
      <c r="I334" s="457">
        <v>163001.56</v>
      </c>
      <c r="J334" s="456">
        <v>2</v>
      </c>
      <c r="K334" s="457">
        <v>167063.89999999997</v>
      </c>
      <c r="L334" s="435"/>
      <c r="M334" s="456">
        <f t="shared" ref="M334:M343" si="128">IFERROR(H334-S334,"")</f>
        <v>0</v>
      </c>
      <c r="N334" s="457">
        <f t="shared" ref="N334:N343" si="129">IFERROR(I334-T334,"")</f>
        <v>0</v>
      </c>
      <c r="O334" s="456">
        <f t="shared" ref="O334:O343" si="130">IFERROR(J334-U334,"")</f>
        <v>0</v>
      </c>
      <c r="P334" s="457">
        <f t="shared" ref="P334:P343" si="131">IFERROR(K334-V334,"")</f>
        <v>0</v>
      </c>
      <c r="R334" s="455" t="s">
        <v>301</v>
      </c>
      <c r="S334" s="456">
        <v>2</v>
      </c>
      <c r="T334" s="457">
        <v>163001.56</v>
      </c>
      <c r="U334" s="456">
        <v>2</v>
      </c>
      <c r="V334" s="457">
        <v>167063.89999999997</v>
      </c>
    </row>
    <row r="335" spans="1:22" x14ac:dyDescent="0.2">
      <c r="A335" s="465" t="s">
        <v>302</v>
      </c>
      <c r="B335" s="461">
        <v>0</v>
      </c>
      <c r="C335" s="462">
        <v>0</v>
      </c>
      <c r="D335" s="461">
        <v>0</v>
      </c>
      <c r="E335" s="462">
        <v>0</v>
      </c>
      <c r="F335" s="461">
        <v>0</v>
      </c>
      <c r="G335" s="462">
        <v>0</v>
      </c>
      <c r="H335" s="461">
        <v>0</v>
      </c>
      <c r="I335" s="462">
        <v>0</v>
      </c>
      <c r="J335" s="461">
        <v>0</v>
      </c>
      <c r="K335" s="462">
        <v>0</v>
      </c>
      <c r="L335" s="435"/>
      <c r="M335" s="461">
        <f t="shared" si="128"/>
        <v>0</v>
      </c>
      <c r="N335" s="462">
        <f t="shared" si="129"/>
        <v>0</v>
      </c>
      <c r="O335" s="461">
        <f t="shared" si="130"/>
        <v>0</v>
      </c>
      <c r="P335" s="462">
        <f t="shared" si="131"/>
        <v>0</v>
      </c>
      <c r="R335" s="465" t="s">
        <v>302</v>
      </c>
      <c r="S335" s="461">
        <v>0</v>
      </c>
      <c r="T335" s="462">
        <v>0</v>
      </c>
      <c r="U335" s="461">
        <v>0</v>
      </c>
      <c r="V335" s="462">
        <v>0</v>
      </c>
    </row>
    <row r="336" spans="1:22" x14ac:dyDescent="0.2">
      <c r="A336" s="460" t="s">
        <v>303</v>
      </c>
      <c r="B336" s="461">
        <v>0</v>
      </c>
      <c r="C336" s="462">
        <v>0</v>
      </c>
      <c r="D336" s="461">
        <v>0</v>
      </c>
      <c r="E336" s="462">
        <v>0</v>
      </c>
      <c r="F336" s="461">
        <v>0</v>
      </c>
      <c r="G336" s="462">
        <v>0</v>
      </c>
      <c r="H336" s="461">
        <v>0</v>
      </c>
      <c r="I336" s="462">
        <v>0</v>
      </c>
      <c r="J336" s="461">
        <v>0</v>
      </c>
      <c r="K336" s="462">
        <v>0</v>
      </c>
      <c r="L336" s="435"/>
      <c r="M336" s="461">
        <f t="shared" si="128"/>
        <v>0</v>
      </c>
      <c r="N336" s="462">
        <f t="shared" si="129"/>
        <v>0</v>
      </c>
      <c r="O336" s="461">
        <f t="shared" si="130"/>
        <v>0</v>
      </c>
      <c r="P336" s="462">
        <f t="shared" si="131"/>
        <v>0</v>
      </c>
      <c r="R336" s="460" t="s">
        <v>303</v>
      </c>
      <c r="S336" s="461">
        <v>0</v>
      </c>
      <c r="T336" s="462">
        <v>0</v>
      </c>
      <c r="U336" s="461">
        <v>0</v>
      </c>
      <c r="V336" s="462">
        <v>0</v>
      </c>
    </row>
    <row r="337" spans="1:22" x14ac:dyDescent="0.2">
      <c r="A337" s="465" t="s">
        <v>304</v>
      </c>
      <c r="B337" s="461">
        <v>0.97999999999999987</v>
      </c>
      <c r="C337" s="462">
        <v>98163.161977812269</v>
      </c>
      <c r="D337" s="461">
        <v>1.1925000000000003</v>
      </c>
      <c r="E337" s="462">
        <v>93289.407419665076</v>
      </c>
      <c r="F337" s="461">
        <v>1.2424999999999999</v>
      </c>
      <c r="G337" s="462">
        <v>100300.50506436803</v>
      </c>
      <c r="H337" s="461">
        <v>0</v>
      </c>
      <c r="I337" s="462">
        <v>0</v>
      </c>
      <c r="J337" s="461">
        <v>0</v>
      </c>
      <c r="K337" s="462">
        <v>0</v>
      </c>
      <c r="L337" s="435"/>
      <c r="M337" s="461">
        <f t="shared" si="128"/>
        <v>0</v>
      </c>
      <c r="N337" s="462">
        <f t="shared" si="129"/>
        <v>0</v>
      </c>
      <c r="O337" s="461">
        <f t="shared" si="130"/>
        <v>0</v>
      </c>
      <c r="P337" s="462">
        <f t="shared" si="131"/>
        <v>0</v>
      </c>
      <c r="R337" s="465" t="s">
        <v>304</v>
      </c>
      <c r="S337" s="461">
        <v>0</v>
      </c>
      <c r="T337" s="462">
        <v>0</v>
      </c>
      <c r="U337" s="461">
        <v>0</v>
      </c>
      <c r="V337" s="462">
        <v>0</v>
      </c>
    </row>
    <row r="338" spans="1:22" x14ac:dyDescent="0.2">
      <c r="A338" s="465" t="s">
        <v>305</v>
      </c>
      <c r="B338" s="461">
        <v>0</v>
      </c>
      <c r="C338" s="462">
        <v>0</v>
      </c>
      <c r="D338" s="461">
        <v>0</v>
      </c>
      <c r="E338" s="462">
        <v>0</v>
      </c>
      <c r="F338" s="461">
        <v>0</v>
      </c>
      <c r="G338" s="462">
        <v>0</v>
      </c>
      <c r="H338" s="461">
        <v>0</v>
      </c>
      <c r="I338" s="462">
        <v>0</v>
      </c>
      <c r="J338" s="461">
        <v>0</v>
      </c>
      <c r="K338" s="462">
        <v>0</v>
      </c>
      <c r="L338" s="435"/>
      <c r="M338" s="461">
        <f t="shared" si="128"/>
        <v>0</v>
      </c>
      <c r="N338" s="462">
        <f t="shared" si="129"/>
        <v>0</v>
      </c>
      <c r="O338" s="461">
        <f t="shared" si="130"/>
        <v>0</v>
      </c>
      <c r="P338" s="462">
        <f t="shared" si="131"/>
        <v>0</v>
      </c>
      <c r="R338" s="465" t="s">
        <v>305</v>
      </c>
      <c r="S338" s="461">
        <v>0</v>
      </c>
      <c r="T338" s="462">
        <v>0</v>
      </c>
      <c r="U338" s="461">
        <v>0</v>
      </c>
      <c r="V338" s="462">
        <v>0</v>
      </c>
    </row>
    <row r="339" spans="1:22" x14ac:dyDescent="0.2">
      <c r="A339" s="465" t="s">
        <v>306</v>
      </c>
      <c r="B339" s="461">
        <v>0</v>
      </c>
      <c r="C339" s="462">
        <v>0</v>
      </c>
      <c r="D339" s="461">
        <v>0</v>
      </c>
      <c r="E339" s="462">
        <v>0</v>
      </c>
      <c r="F339" s="461">
        <v>0</v>
      </c>
      <c r="G339" s="462">
        <v>0</v>
      </c>
      <c r="H339" s="461">
        <v>0</v>
      </c>
      <c r="I339" s="462">
        <v>0</v>
      </c>
      <c r="J339" s="461">
        <v>0</v>
      </c>
      <c r="K339" s="462">
        <v>0</v>
      </c>
      <c r="L339" s="435"/>
      <c r="M339" s="461">
        <f t="shared" si="128"/>
        <v>0</v>
      </c>
      <c r="N339" s="462">
        <f t="shared" si="129"/>
        <v>0</v>
      </c>
      <c r="O339" s="461">
        <f t="shared" si="130"/>
        <v>0</v>
      </c>
      <c r="P339" s="462">
        <f t="shared" si="131"/>
        <v>0</v>
      </c>
      <c r="R339" s="465" t="s">
        <v>306</v>
      </c>
      <c r="S339" s="461">
        <v>0</v>
      </c>
      <c r="T339" s="462">
        <v>0</v>
      </c>
      <c r="U339" s="461">
        <v>0</v>
      </c>
      <c r="V339" s="462">
        <v>0</v>
      </c>
    </row>
    <row r="340" spans="1:22" x14ac:dyDescent="0.2">
      <c r="A340" s="465" t="s">
        <v>307</v>
      </c>
      <c r="B340" s="461">
        <v>0</v>
      </c>
      <c r="C340" s="462">
        <v>0</v>
      </c>
      <c r="D340" s="461">
        <v>0</v>
      </c>
      <c r="E340" s="462">
        <v>0</v>
      </c>
      <c r="F340" s="461">
        <v>0</v>
      </c>
      <c r="G340" s="462">
        <v>0</v>
      </c>
      <c r="H340" s="461">
        <v>0</v>
      </c>
      <c r="I340" s="462">
        <v>0</v>
      </c>
      <c r="J340" s="461">
        <v>0</v>
      </c>
      <c r="K340" s="462">
        <v>0</v>
      </c>
      <c r="L340" s="435"/>
      <c r="M340" s="461">
        <f t="shared" si="128"/>
        <v>0</v>
      </c>
      <c r="N340" s="462">
        <f t="shared" si="129"/>
        <v>0</v>
      </c>
      <c r="O340" s="461">
        <f t="shared" si="130"/>
        <v>0</v>
      </c>
      <c r="P340" s="462">
        <f t="shared" si="131"/>
        <v>0</v>
      </c>
      <c r="R340" s="465" t="s">
        <v>307</v>
      </c>
      <c r="S340" s="461">
        <v>0</v>
      </c>
      <c r="T340" s="462">
        <v>0</v>
      </c>
      <c r="U340" s="461">
        <v>0</v>
      </c>
      <c r="V340" s="462">
        <v>0</v>
      </c>
    </row>
    <row r="341" spans="1:22" x14ac:dyDescent="0.2">
      <c r="A341" s="465" t="s">
        <v>308</v>
      </c>
      <c r="B341" s="461">
        <v>15.77</v>
      </c>
      <c r="C341" s="462">
        <v>913362.72680174187</v>
      </c>
      <c r="D341" s="461">
        <v>15.724166666666667</v>
      </c>
      <c r="E341" s="462">
        <v>958577.74659618153</v>
      </c>
      <c r="F341" s="461">
        <v>14.674166666666666</v>
      </c>
      <c r="G341" s="462">
        <v>901902.06675325905</v>
      </c>
      <c r="H341" s="461">
        <v>14.59</v>
      </c>
      <c r="I341" s="462">
        <v>1146580.18</v>
      </c>
      <c r="J341" s="461">
        <v>16.59</v>
      </c>
      <c r="K341" s="462">
        <v>1376535.51</v>
      </c>
      <c r="L341" s="435"/>
      <c r="M341" s="461">
        <f t="shared" si="128"/>
        <v>0</v>
      </c>
      <c r="N341" s="462">
        <f t="shared" si="129"/>
        <v>0</v>
      </c>
      <c r="O341" s="461">
        <f t="shared" si="130"/>
        <v>2</v>
      </c>
      <c r="P341" s="462">
        <f t="shared" si="131"/>
        <v>173020.61999999988</v>
      </c>
      <c r="R341" s="465" t="s">
        <v>308</v>
      </c>
      <c r="S341" s="461">
        <v>14.59</v>
      </c>
      <c r="T341" s="462">
        <v>1146580.18</v>
      </c>
      <c r="U341" s="461">
        <v>14.59</v>
      </c>
      <c r="V341" s="462">
        <v>1203514.8900000001</v>
      </c>
    </row>
    <row r="342" spans="1:22" x14ac:dyDescent="0.2">
      <c r="A342" s="465" t="s">
        <v>309</v>
      </c>
      <c r="B342" s="461">
        <v>0</v>
      </c>
      <c r="C342" s="462">
        <v>0</v>
      </c>
      <c r="D342" s="461">
        <v>0</v>
      </c>
      <c r="E342" s="462">
        <v>0</v>
      </c>
      <c r="F342" s="461">
        <v>0</v>
      </c>
      <c r="G342" s="462">
        <v>0</v>
      </c>
      <c r="H342" s="461">
        <v>0</v>
      </c>
      <c r="I342" s="462">
        <v>0</v>
      </c>
      <c r="J342" s="461">
        <v>0</v>
      </c>
      <c r="K342" s="462">
        <v>0</v>
      </c>
      <c r="L342" s="435"/>
      <c r="M342" s="461">
        <f t="shared" si="128"/>
        <v>0</v>
      </c>
      <c r="N342" s="462">
        <f t="shared" si="129"/>
        <v>0</v>
      </c>
      <c r="O342" s="461">
        <f t="shared" si="130"/>
        <v>0</v>
      </c>
      <c r="P342" s="462">
        <f t="shared" si="131"/>
        <v>0</v>
      </c>
      <c r="R342" s="465" t="s">
        <v>309</v>
      </c>
      <c r="S342" s="461">
        <v>0</v>
      </c>
      <c r="T342" s="462">
        <v>0</v>
      </c>
      <c r="U342" s="461">
        <v>0</v>
      </c>
      <c r="V342" s="462">
        <v>0</v>
      </c>
    </row>
    <row r="343" spans="1:22" x14ac:dyDescent="0.2">
      <c r="A343" s="466" t="s">
        <v>310</v>
      </c>
      <c r="B343" s="461">
        <v>0</v>
      </c>
      <c r="C343" s="462">
        <v>0</v>
      </c>
      <c r="D343" s="461">
        <v>0</v>
      </c>
      <c r="E343" s="462">
        <v>0</v>
      </c>
      <c r="F343" s="461">
        <v>0</v>
      </c>
      <c r="G343" s="462">
        <v>0</v>
      </c>
      <c r="H343" s="461">
        <v>0</v>
      </c>
      <c r="I343" s="492">
        <v>0</v>
      </c>
      <c r="J343" s="461">
        <v>0</v>
      </c>
      <c r="K343" s="492">
        <v>0</v>
      </c>
      <c r="L343" s="435"/>
      <c r="M343" s="461">
        <f t="shared" si="128"/>
        <v>0</v>
      </c>
      <c r="N343" s="492">
        <f t="shared" si="129"/>
        <v>0</v>
      </c>
      <c r="O343" s="461">
        <f t="shared" si="130"/>
        <v>0</v>
      </c>
      <c r="P343" s="492">
        <f t="shared" si="131"/>
        <v>0</v>
      </c>
      <c r="R343" s="466" t="s">
        <v>310</v>
      </c>
      <c r="S343" s="461">
        <v>0</v>
      </c>
      <c r="T343" s="492">
        <v>0</v>
      </c>
      <c r="U343" s="461">
        <v>0</v>
      </c>
      <c r="V343" s="492">
        <v>0</v>
      </c>
    </row>
    <row r="344" spans="1:22" ht="3" customHeight="1" x14ac:dyDescent="0.2">
      <c r="A344" s="469"/>
      <c r="B344" s="470"/>
      <c r="C344" s="471"/>
      <c r="D344" s="470"/>
      <c r="E344" s="471"/>
      <c r="F344" s="470"/>
      <c r="G344" s="471"/>
      <c r="H344" s="470"/>
      <c r="I344" s="471"/>
      <c r="J344" s="470"/>
      <c r="K344" s="471"/>
      <c r="L344" s="435"/>
      <c r="M344" s="470"/>
      <c r="N344" s="471"/>
      <c r="O344" s="470"/>
      <c r="P344" s="471"/>
      <c r="R344" s="469"/>
      <c r="S344" s="470"/>
      <c r="T344" s="471"/>
      <c r="U344" s="470"/>
      <c r="V344" s="471"/>
    </row>
    <row r="345" spans="1:22" ht="12" thickBot="1" x14ac:dyDescent="0.25">
      <c r="A345" s="472" t="s">
        <v>205</v>
      </c>
      <c r="B345" s="473">
        <f t="shared" ref="B345:G345" si="132">SUM(B334:B344)</f>
        <v>18.75</v>
      </c>
      <c r="C345" s="474">
        <f t="shared" si="132"/>
        <v>1152175.3436894964</v>
      </c>
      <c r="D345" s="473">
        <f t="shared" si="132"/>
        <v>18.916666666666668</v>
      </c>
      <c r="E345" s="474">
        <f t="shared" si="132"/>
        <v>1205980.4621596669</v>
      </c>
      <c r="F345" s="473">
        <f t="shared" si="132"/>
        <v>17.916666666666664</v>
      </c>
      <c r="G345" s="474">
        <f t="shared" si="132"/>
        <v>1174740.9461211246</v>
      </c>
      <c r="H345" s="473">
        <v>16.59</v>
      </c>
      <c r="I345" s="474">
        <v>1309581.74</v>
      </c>
      <c r="J345" s="473">
        <v>18.59</v>
      </c>
      <c r="K345" s="474">
        <v>1543599.41</v>
      </c>
      <c r="L345" s="435"/>
      <c r="M345" s="473">
        <f>IFERROR(H345-S345,"")</f>
        <v>0</v>
      </c>
      <c r="N345" s="474">
        <f>IFERROR(I345-T345,"")</f>
        <v>0</v>
      </c>
      <c r="O345" s="473">
        <f>IFERROR(J345-U345,"")</f>
        <v>2</v>
      </c>
      <c r="P345" s="474">
        <f>IFERROR(K345-V345,"")</f>
        <v>173020.61999999988</v>
      </c>
      <c r="R345" s="472" t="s">
        <v>205</v>
      </c>
      <c r="S345" s="473">
        <v>16.59</v>
      </c>
      <c r="T345" s="474">
        <v>1309581.74</v>
      </c>
      <c r="U345" s="473">
        <v>16.59</v>
      </c>
      <c r="V345" s="474">
        <v>1370578.79</v>
      </c>
    </row>
    <row r="346" spans="1:22" ht="12" thickTop="1" x14ac:dyDescent="0.2">
      <c r="A346" s="475"/>
      <c r="B346" s="477"/>
      <c r="C346" s="476"/>
      <c r="D346" s="477"/>
      <c r="E346" s="476"/>
      <c r="F346" s="477"/>
      <c r="G346" s="476"/>
      <c r="H346" s="477"/>
      <c r="I346" s="476"/>
      <c r="J346" s="477"/>
      <c r="K346" s="476"/>
      <c r="L346" s="435"/>
      <c r="M346" s="477"/>
      <c r="N346" s="476"/>
      <c r="O346" s="477"/>
      <c r="P346" s="476"/>
      <c r="R346" s="475"/>
      <c r="S346" s="477"/>
      <c r="T346" s="476"/>
      <c r="U346" s="477"/>
      <c r="V346" s="476"/>
    </row>
    <row r="347" spans="1:22" ht="12.75" x14ac:dyDescent="0.2">
      <c r="A347" s="476"/>
      <c r="B347" s="493"/>
      <c r="C347" s="483"/>
      <c r="D347" s="493"/>
      <c r="E347" s="483"/>
      <c r="F347" s="493"/>
      <c r="G347" s="483"/>
      <c r="H347" s="493"/>
      <c r="I347" s="494"/>
      <c r="J347" s="493"/>
      <c r="K347" s="494"/>
      <c r="L347" s="435"/>
      <c r="M347" s="493"/>
      <c r="N347" s="494"/>
      <c r="O347" s="493"/>
      <c r="P347" s="494"/>
      <c r="R347" s="476"/>
      <c r="S347" s="493"/>
      <c r="T347" s="494"/>
      <c r="U347" s="493"/>
      <c r="V347" s="494"/>
    </row>
    <row r="348" spans="1:22" x14ac:dyDescent="0.2">
      <c r="A348" s="485" t="s">
        <v>312</v>
      </c>
      <c r="B348" s="487"/>
      <c r="C348" s="486"/>
      <c r="D348" s="487"/>
      <c r="E348" s="486"/>
      <c r="F348" s="487"/>
      <c r="G348" s="486"/>
      <c r="H348" s="487"/>
      <c r="I348" s="486"/>
      <c r="J348" s="487"/>
      <c r="K348" s="486"/>
      <c r="L348" s="435"/>
      <c r="M348" s="487"/>
      <c r="N348" s="486"/>
      <c r="O348" s="487"/>
      <c r="P348" s="486"/>
      <c r="R348" s="485" t="s">
        <v>312</v>
      </c>
      <c r="S348" s="487"/>
      <c r="T348" s="486"/>
      <c r="U348" s="487"/>
      <c r="V348" s="486"/>
    </row>
    <row r="349" spans="1:22" x14ac:dyDescent="0.2">
      <c r="A349" s="455" t="s">
        <v>301</v>
      </c>
      <c r="B349" s="456">
        <v>0</v>
      </c>
      <c r="C349" s="457">
        <v>29194.704411474548</v>
      </c>
      <c r="D349" s="456">
        <v>0</v>
      </c>
      <c r="E349" s="457">
        <v>26381.339399880537</v>
      </c>
      <c r="F349" s="456">
        <v>0</v>
      </c>
      <c r="G349" s="457">
        <v>30898.092640779803</v>
      </c>
      <c r="H349" s="456">
        <v>0</v>
      </c>
      <c r="I349" s="457">
        <v>31872.97</v>
      </c>
      <c r="J349" s="456">
        <v>0</v>
      </c>
      <c r="K349" s="457">
        <v>32971.660000000003</v>
      </c>
      <c r="L349" s="435"/>
      <c r="M349" s="456">
        <f t="shared" ref="M349:M358" si="133">IFERROR(H349-S349,"")</f>
        <v>0</v>
      </c>
      <c r="N349" s="457">
        <f t="shared" ref="N349:N358" si="134">IFERROR(I349-T349,"")</f>
        <v>0</v>
      </c>
      <c r="O349" s="456">
        <f t="shared" ref="O349:O358" si="135">IFERROR(J349-U349,"")</f>
        <v>0</v>
      </c>
      <c r="P349" s="457">
        <f t="shared" ref="P349:P358" si="136">IFERROR(K349-V349,"")</f>
        <v>0</v>
      </c>
      <c r="R349" s="455" t="s">
        <v>301</v>
      </c>
      <c r="S349" s="456">
        <v>0</v>
      </c>
      <c r="T349" s="457">
        <v>31872.97</v>
      </c>
      <c r="U349" s="456">
        <v>0</v>
      </c>
      <c r="V349" s="457">
        <v>32971.660000000003</v>
      </c>
    </row>
    <row r="350" spans="1:22" x14ac:dyDescent="0.2">
      <c r="A350" s="465" t="s">
        <v>302</v>
      </c>
      <c r="B350" s="461">
        <v>0</v>
      </c>
      <c r="C350" s="462">
        <v>0</v>
      </c>
      <c r="D350" s="461">
        <v>0</v>
      </c>
      <c r="E350" s="462">
        <v>0</v>
      </c>
      <c r="F350" s="461">
        <v>0</v>
      </c>
      <c r="G350" s="462">
        <v>0</v>
      </c>
      <c r="H350" s="461">
        <v>0</v>
      </c>
      <c r="I350" s="462">
        <v>0</v>
      </c>
      <c r="J350" s="461">
        <v>0</v>
      </c>
      <c r="K350" s="462">
        <v>0</v>
      </c>
      <c r="L350" s="435"/>
      <c r="M350" s="461">
        <f t="shared" si="133"/>
        <v>0</v>
      </c>
      <c r="N350" s="462">
        <f t="shared" si="134"/>
        <v>0</v>
      </c>
      <c r="O350" s="461">
        <f t="shared" si="135"/>
        <v>0</v>
      </c>
      <c r="P350" s="462">
        <f t="shared" si="136"/>
        <v>0</v>
      </c>
      <c r="R350" s="465" t="s">
        <v>302</v>
      </c>
      <c r="S350" s="461">
        <v>0</v>
      </c>
      <c r="T350" s="462">
        <v>0</v>
      </c>
      <c r="U350" s="461">
        <v>0</v>
      </c>
      <c r="V350" s="462">
        <v>0</v>
      </c>
    </row>
    <row r="351" spans="1:22" x14ac:dyDescent="0.2">
      <c r="A351" s="460" t="s">
        <v>303</v>
      </c>
      <c r="B351" s="461">
        <v>0</v>
      </c>
      <c r="C351" s="462">
        <v>0</v>
      </c>
      <c r="D351" s="461">
        <v>0</v>
      </c>
      <c r="E351" s="462">
        <v>0</v>
      </c>
      <c r="F351" s="461">
        <v>0</v>
      </c>
      <c r="G351" s="462">
        <v>0</v>
      </c>
      <c r="H351" s="461">
        <v>0</v>
      </c>
      <c r="I351" s="462">
        <v>0</v>
      </c>
      <c r="J351" s="461">
        <v>0</v>
      </c>
      <c r="K351" s="462">
        <v>0</v>
      </c>
      <c r="L351" s="435"/>
      <c r="M351" s="461">
        <f t="shared" si="133"/>
        <v>0</v>
      </c>
      <c r="N351" s="462">
        <f t="shared" si="134"/>
        <v>0</v>
      </c>
      <c r="O351" s="461">
        <f t="shared" si="135"/>
        <v>0</v>
      </c>
      <c r="P351" s="462">
        <f t="shared" si="136"/>
        <v>0</v>
      </c>
      <c r="R351" s="460" t="s">
        <v>303</v>
      </c>
      <c r="S351" s="461">
        <v>0</v>
      </c>
      <c r="T351" s="462">
        <v>0</v>
      </c>
      <c r="U351" s="461">
        <v>0</v>
      </c>
      <c r="V351" s="462">
        <v>0</v>
      </c>
    </row>
    <row r="352" spans="1:22" x14ac:dyDescent="0.2">
      <c r="A352" s="465" t="s">
        <v>304</v>
      </c>
      <c r="B352" s="461">
        <v>0</v>
      </c>
      <c r="C352" s="462">
        <v>0</v>
      </c>
      <c r="D352" s="461">
        <v>0</v>
      </c>
      <c r="E352" s="462">
        <v>0</v>
      </c>
      <c r="F352" s="461">
        <v>0</v>
      </c>
      <c r="G352" s="462">
        <v>0</v>
      </c>
      <c r="H352" s="461">
        <v>0</v>
      </c>
      <c r="I352" s="462">
        <v>0</v>
      </c>
      <c r="J352" s="461">
        <v>0</v>
      </c>
      <c r="K352" s="462">
        <v>0</v>
      </c>
      <c r="L352" s="435"/>
      <c r="M352" s="461">
        <f t="shared" si="133"/>
        <v>0</v>
      </c>
      <c r="N352" s="462">
        <f t="shared" si="134"/>
        <v>0</v>
      </c>
      <c r="O352" s="461">
        <f t="shared" si="135"/>
        <v>0</v>
      </c>
      <c r="P352" s="462">
        <f t="shared" si="136"/>
        <v>0</v>
      </c>
      <c r="R352" s="465" t="s">
        <v>304</v>
      </c>
      <c r="S352" s="461">
        <v>0</v>
      </c>
      <c r="T352" s="462">
        <v>0</v>
      </c>
      <c r="U352" s="461">
        <v>0</v>
      </c>
      <c r="V352" s="462">
        <v>0</v>
      </c>
    </row>
    <row r="353" spans="1:22" x14ac:dyDescent="0.2">
      <c r="A353" s="465" t="s">
        <v>305</v>
      </c>
      <c r="B353" s="461">
        <v>0</v>
      </c>
      <c r="C353" s="462">
        <v>0</v>
      </c>
      <c r="D353" s="461">
        <v>0</v>
      </c>
      <c r="E353" s="462">
        <v>0</v>
      </c>
      <c r="F353" s="461">
        <v>0</v>
      </c>
      <c r="G353" s="462">
        <v>0</v>
      </c>
      <c r="H353" s="461">
        <v>0</v>
      </c>
      <c r="I353" s="462">
        <v>0</v>
      </c>
      <c r="J353" s="461">
        <v>0</v>
      </c>
      <c r="K353" s="462">
        <v>0</v>
      </c>
      <c r="L353" s="435"/>
      <c r="M353" s="461">
        <f t="shared" si="133"/>
        <v>0</v>
      </c>
      <c r="N353" s="462">
        <f t="shared" si="134"/>
        <v>0</v>
      </c>
      <c r="O353" s="461">
        <f t="shared" si="135"/>
        <v>0</v>
      </c>
      <c r="P353" s="462">
        <f t="shared" si="136"/>
        <v>0</v>
      </c>
      <c r="R353" s="465" t="s">
        <v>305</v>
      </c>
      <c r="S353" s="461">
        <v>0</v>
      </c>
      <c r="T353" s="462">
        <v>0</v>
      </c>
      <c r="U353" s="461">
        <v>0</v>
      </c>
      <c r="V353" s="462">
        <v>0</v>
      </c>
    </row>
    <row r="354" spans="1:22" x14ac:dyDescent="0.2">
      <c r="A354" s="465" t="s">
        <v>306</v>
      </c>
      <c r="B354" s="461">
        <v>0</v>
      </c>
      <c r="C354" s="462">
        <v>0</v>
      </c>
      <c r="D354" s="461">
        <v>0</v>
      </c>
      <c r="E354" s="462">
        <v>0</v>
      </c>
      <c r="F354" s="461">
        <v>0</v>
      </c>
      <c r="G354" s="462">
        <v>0</v>
      </c>
      <c r="H354" s="461">
        <v>0</v>
      </c>
      <c r="I354" s="462">
        <v>0</v>
      </c>
      <c r="J354" s="461">
        <v>0</v>
      </c>
      <c r="K354" s="462">
        <v>0</v>
      </c>
      <c r="L354" s="435"/>
      <c r="M354" s="461">
        <f t="shared" si="133"/>
        <v>0</v>
      </c>
      <c r="N354" s="462">
        <f t="shared" si="134"/>
        <v>0</v>
      </c>
      <c r="O354" s="461">
        <f t="shared" si="135"/>
        <v>0</v>
      </c>
      <c r="P354" s="462">
        <f t="shared" si="136"/>
        <v>0</v>
      </c>
      <c r="R354" s="465" t="s">
        <v>306</v>
      </c>
      <c r="S354" s="461">
        <v>0</v>
      </c>
      <c r="T354" s="462">
        <v>0</v>
      </c>
      <c r="U354" s="461">
        <v>0</v>
      </c>
      <c r="V354" s="462">
        <v>0</v>
      </c>
    </row>
    <row r="355" spans="1:22" x14ac:dyDescent="0.2">
      <c r="A355" s="465" t="s">
        <v>307</v>
      </c>
      <c r="B355" s="461">
        <v>0</v>
      </c>
      <c r="C355" s="462">
        <v>0</v>
      </c>
      <c r="D355" s="461">
        <v>0</v>
      </c>
      <c r="E355" s="462">
        <v>0</v>
      </c>
      <c r="F355" s="461">
        <v>0</v>
      </c>
      <c r="G355" s="462">
        <v>0</v>
      </c>
      <c r="H355" s="461">
        <v>0</v>
      </c>
      <c r="I355" s="462">
        <v>0</v>
      </c>
      <c r="J355" s="461">
        <v>0</v>
      </c>
      <c r="K355" s="462">
        <v>0</v>
      </c>
      <c r="L355" s="435"/>
      <c r="M355" s="461">
        <f t="shared" si="133"/>
        <v>0</v>
      </c>
      <c r="N355" s="462">
        <f t="shared" si="134"/>
        <v>0</v>
      </c>
      <c r="O355" s="461">
        <f t="shared" si="135"/>
        <v>0</v>
      </c>
      <c r="P355" s="462">
        <f t="shared" si="136"/>
        <v>0</v>
      </c>
      <c r="R355" s="465" t="s">
        <v>307</v>
      </c>
      <c r="S355" s="461">
        <v>0</v>
      </c>
      <c r="T355" s="462">
        <v>0</v>
      </c>
      <c r="U355" s="461">
        <v>0</v>
      </c>
      <c r="V355" s="462">
        <v>0</v>
      </c>
    </row>
    <row r="356" spans="1:22" x14ac:dyDescent="0.2">
      <c r="A356" s="465" t="s">
        <v>308</v>
      </c>
      <c r="B356" s="461">
        <v>0</v>
      </c>
      <c r="C356" s="462">
        <v>230732.4536710789</v>
      </c>
      <c r="D356" s="461">
        <v>0</v>
      </c>
      <c r="E356" s="462">
        <v>245792.37878845134</v>
      </c>
      <c r="F356" s="461">
        <v>0</v>
      </c>
      <c r="G356" s="462">
        <v>239876.91363030905</v>
      </c>
      <c r="H356" s="461">
        <v>0</v>
      </c>
      <c r="I356" s="462">
        <v>242011.56000000003</v>
      </c>
      <c r="J356" s="461">
        <v>0</v>
      </c>
      <c r="K356" s="462">
        <v>285557.84999999998</v>
      </c>
      <c r="L356" s="435"/>
      <c r="M356" s="461">
        <f t="shared" si="133"/>
        <v>0</v>
      </c>
      <c r="N356" s="462">
        <f t="shared" si="134"/>
        <v>0</v>
      </c>
      <c r="O356" s="461">
        <f t="shared" si="135"/>
        <v>0</v>
      </c>
      <c r="P356" s="462">
        <f t="shared" si="136"/>
        <v>10925.589999999967</v>
      </c>
      <c r="R356" s="465" t="s">
        <v>308</v>
      </c>
      <c r="S356" s="461">
        <v>0</v>
      </c>
      <c r="T356" s="462">
        <v>242011.56000000003</v>
      </c>
      <c r="U356" s="461">
        <v>0</v>
      </c>
      <c r="V356" s="462">
        <v>274632.26</v>
      </c>
    </row>
    <row r="357" spans="1:22" x14ac:dyDescent="0.2">
      <c r="A357" s="465" t="s">
        <v>309</v>
      </c>
      <c r="B357" s="461">
        <v>0</v>
      </c>
      <c r="C357" s="462">
        <v>0</v>
      </c>
      <c r="D357" s="461">
        <v>0</v>
      </c>
      <c r="E357" s="462">
        <v>0</v>
      </c>
      <c r="F357" s="461">
        <v>0</v>
      </c>
      <c r="G357" s="462">
        <v>0</v>
      </c>
      <c r="H357" s="461">
        <v>0</v>
      </c>
      <c r="I357" s="462">
        <v>0</v>
      </c>
      <c r="J357" s="461">
        <v>0</v>
      </c>
      <c r="K357" s="462">
        <v>0</v>
      </c>
      <c r="L357" s="435"/>
      <c r="M357" s="461">
        <f t="shared" si="133"/>
        <v>0</v>
      </c>
      <c r="N357" s="462">
        <f t="shared" si="134"/>
        <v>0</v>
      </c>
      <c r="O357" s="461">
        <f t="shared" si="135"/>
        <v>0</v>
      </c>
      <c r="P357" s="462">
        <f t="shared" si="136"/>
        <v>0</v>
      </c>
      <c r="R357" s="465" t="s">
        <v>309</v>
      </c>
      <c r="S357" s="461">
        <v>0</v>
      </c>
      <c r="T357" s="462">
        <v>0</v>
      </c>
      <c r="U357" s="461">
        <v>0</v>
      </c>
      <c r="V357" s="462">
        <v>0</v>
      </c>
    </row>
    <row r="358" spans="1:22" x14ac:dyDescent="0.2">
      <c r="A358" s="466" t="s">
        <v>310</v>
      </c>
      <c r="B358" s="461">
        <v>0</v>
      </c>
      <c r="C358" s="462">
        <v>0</v>
      </c>
      <c r="D358" s="461">
        <v>0</v>
      </c>
      <c r="E358" s="462">
        <v>0</v>
      </c>
      <c r="F358" s="461">
        <v>0</v>
      </c>
      <c r="G358" s="462">
        <v>0</v>
      </c>
      <c r="H358" s="461">
        <v>0</v>
      </c>
      <c r="I358" s="492">
        <v>0</v>
      </c>
      <c r="J358" s="461">
        <v>0</v>
      </c>
      <c r="K358" s="492">
        <v>0</v>
      </c>
      <c r="L358" s="435"/>
      <c r="M358" s="461">
        <f t="shared" si="133"/>
        <v>0</v>
      </c>
      <c r="N358" s="492">
        <f t="shared" si="134"/>
        <v>0</v>
      </c>
      <c r="O358" s="461">
        <f t="shared" si="135"/>
        <v>0</v>
      </c>
      <c r="P358" s="492">
        <f t="shared" si="136"/>
        <v>0</v>
      </c>
      <c r="R358" s="466" t="s">
        <v>310</v>
      </c>
      <c r="S358" s="461">
        <v>0</v>
      </c>
      <c r="T358" s="492">
        <v>0</v>
      </c>
      <c r="U358" s="461">
        <v>0</v>
      </c>
      <c r="V358" s="492">
        <v>0</v>
      </c>
    </row>
    <row r="359" spans="1:22" ht="3" customHeight="1" x14ac:dyDescent="0.2">
      <c r="A359" s="469"/>
      <c r="B359" s="470"/>
      <c r="C359" s="471"/>
      <c r="D359" s="470"/>
      <c r="E359" s="471"/>
      <c r="F359" s="470"/>
      <c r="G359" s="471"/>
      <c r="H359" s="470"/>
      <c r="I359" s="471"/>
      <c r="J359" s="470"/>
      <c r="K359" s="471"/>
      <c r="L359" s="435"/>
      <c r="M359" s="470"/>
      <c r="N359" s="471"/>
      <c r="O359" s="470"/>
      <c r="P359" s="471"/>
      <c r="R359" s="469"/>
      <c r="S359" s="470"/>
      <c r="T359" s="471"/>
      <c r="U359" s="470"/>
      <c r="V359" s="471"/>
    </row>
    <row r="360" spans="1:22" ht="12" thickBot="1" x14ac:dyDescent="0.25">
      <c r="A360" s="472" t="s">
        <v>205</v>
      </c>
      <c r="B360" s="473">
        <f t="shared" ref="B360:G360" si="137">SUM(B349:B359)</f>
        <v>0</v>
      </c>
      <c r="C360" s="474">
        <f t="shared" si="137"/>
        <v>259927.15808255345</v>
      </c>
      <c r="D360" s="473">
        <f t="shared" si="137"/>
        <v>0</v>
      </c>
      <c r="E360" s="474">
        <f t="shared" si="137"/>
        <v>272173.71818833187</v>
      </c>
      <c r="F360" s="473">
        <f t="shared" si="137"/>
        <v>0</v>
      </c>
      <c r="G360" s="474">
        <f t="shared" si="137"/>
        <v>270775.00627108885</v>
      </c>
      <c r="H360" s="473">
        <v>0</v>
      </c>
      <c r="I360" s="474">
        <v>273884.53000000003</v>
      </c>
      <c r="J360" s="473">
        <v>0</v>
      </c>
      <c r="K360" s="474">
        <v>318529.51</v>
      </c>
      <c r="L360" s="435"/>
      <c r="M360" s="473">
        <f>IFERROR(H360-S360,"")</f>
        <v>0</v>
      </c>
      <c r="N360" s="474">
        <f>IFERROR(I360-T360,"")</f>
        <v>0</v>
      </c>
      <c r="O360" s="473">
        <f>IFERROR(J360-U360,"")</f>
        <v>0</v>
      </c>
      <c r="P360" s="474">
        <f>IFERROR(K360-V360,"")</f>
        <v>10925.589999999967</v>
      </c>
      <c r="R360" s="472" t="s">
        <v>205</v>
      </c>
      <c r="S360" s="473">
        <v>0</v>
      </c>
      <c r="T360" s="474">
        <v>273884.53000000003</v>
      </c>
      <c r="U360" s="473">
        <v>0</v>
      </c>
      <c r="V360" s="474">
        <v>307603.92000000004</v>
      </c>
    </row>
    <row r="361" spans="1:22" ht="12" thickTop="1" x14ac:dyDescent="0.2">
      <c r="A361" s="475"/>
      <c r="B361" s="477"/>
      <c r="C361" s="476"/>
      <c r="D361" s="477"/>
      <c r="E361" s="476"/>
      <c r="F361" s="477"/>
      <c r="G361" s="476"/>
      <c r="H361" s="477"/>
      <c r="I361" s="476"/>
      <c r="J361" s="477"/>
      <c r="K361" s="476"/>
      <c r="L361" s="435"/>
      <c r="M361" s="477"/>
      <c r="N361" s="476"/>
      <c r="O361" s="477"/>
      <c r="P361" s="476"/>
      <c r="R361" s="475"/>
      <c r="S361" s="477"/>
      <c r="T361" s="476"/>
      <c r="U361" s="477"/>
      <c r="V361" s="476"/>
    </row>
    <row r="362" spans="1:22" x14ac:dyDescent="0.2">
      <c r="A362" s="476"/>
      <c r="B362" s="477"/>
      <c r="C362" s="476"/>
      <c r="D362" s="477"/>
      <c r="E362" s="476"/>
      <c r="F362" s="477"/>
      <c r="G362" s="476"/>
      <c r="H362" s="477"/>
      <c r="I362" s="476"/>
      <c r="J362" s="477"/>
      <c r="K362" s="476"/>
      <c r="L362" s="435"/>
      <c r="M362" s="477"/>
      <c r="N362" s="476"/>
      <c r="O362" s="477"/>
      <c r="P362" s="476"/>
      <c r="R362" s="476"/>
      <c r="S362" s="477"/>
      <c r="T362" s="476"/>
      <c r="U362" s="477"/>
      <c r="V362" s="476"/>
    </row>
    <row r="363" spans="1:22" x14ac:dyDescent="0.2">
      <c r="A363" s="480" t="s">
        <v>313</v>
      </c>
      <c r="B363" s="487"/>
      <c r="C363" s="486"/>
      <c r="D363" s="487"/>
      <c r="E363" s="486"/>
      <c r="F363" s="487"/>
      <c r="G363" s="486"/>
      <c r="H363" s="487"/>
      <c r="I363" s="486"/>
      <c r="J363" s="487"/>
      <c r="K363" s="486"/>
      <c r="L363" s="435"/>
      <c r="M363" s="487"/>
      <c r="N363" s="486"/>
      <c r="O363" s="487"/>
      <c r="P363" s="486"/>
      <c r="R363" s="480" t="s">
        <v>313</v>
      </c>
      <c r="S363" s="487"/>
      <c r="T363" s="486"/>
      <c r="U363" s="487"/>
      <c r="V363" s="486"/>
    </row>
    <row r="364" spans="1:22" x14ac:dyDescent="0.2">
      <c r="A364" s="455" t="s">
        <v>301</v>
      </c>
      <c r="B364" s="456">
        <v>0</v>
      </c>
      <c r="C364" s="457">
        <v>0</v>
      </c>
      <c r="D364" s="456">
        <v>0</v>
      </c>
      <c r="E364" s="457">
        <v>0</v>
      </c>
      <c r="F364" s="456">
        <v>0</v>
      </c>
      <c r="G364" s="457">
        <v>0</v>
      </c>
      <c r="H364" s="456">
        <v>0</v>
      </c>
      <c r="I364" s="457">
        <v>0</v>
      </c>
      <c r="J364" s="456">
        <v>0</v>
      </c>
      <c r="K364" s="457">
        <v>0</v>
      </c>
      <c r="L364" s="435"/>
      <c r="M364" s="456">
        <f t="shared" ref="M364:M373" si="138">IFERROR(H364-S364,"")</f>
        <v>0</v>
      </c>
      <c r="N364" s="457">
        <f t="shared" ref="N364:N373" si="139">IFERROR(I364-T364,"")</f>
        <v>0</v>
      </c>
      <c r="O364" s="456">
        <f t="shared" ref="O364:O373" si="140">IFERROR(J364-U364,"")</f>
        <v>0</v>
      </c>
      <c r="P364" s="457">
        <f t="shared" ref="P364:P373" si="141">IFERROR(K364-V364,"")</f>
        <v>0</v>
      </c>
      <c r="R364" s="455" t="s">
        <v>301</v>
      </c>
      <c r="S364" s="456">
        <v>0</v>
      </c>
      <c r="T364" s="457">
        <v>0</v>
      </c>
      <c r="U364" s="456">
        <v>0</v>
      </c>
      <c r="V364" s="457">
        <v>0</v>
      </c>
    </row>
    <row r="365" spans="1:22" x14ac:dyDescent="0.2">
      <c r="A365" s="465" t="s">
        <v>302</v>
      </c>
      <c r="B365" s="461">
        <v>0</v>
      </c>
      <c r="C365" s="462">
        <v>0</v>
      </c>
      <c r="D365" s="461">
        <v>0</v>
      </c>
      <c r="E365" s="462">
        <v>0</v>
      </c>
      <c r="F365" s="461">
        <v>0</v>
      </c>
      <c r="G365" s="462">
        <v>0</v>
      </c>
      <c r="H365" s="461">
        <v>0</v>
      </c>
      <c r="I365" s="462">
        <v>0</v>
      </c>
      <c r="J365" s="461">
        <v>0</v>
      </c>
      <c r="K365" s="462">
        <v>0</v>
      </c>
      <c r="L365" s="435"/>
      <c r="M365" s="461">
        <f t="shared" si="138"/>
        <v>0</v>
      </c>
      <c r="N365" s="462">
        <f t="shared" si="139"/>
        <v>0</v>
      </c>
      <c r="O365" s="461">
        <f t="shared" si="140"/>
        <v>0</v>
      </c>
      <c r="P365" s="462">
        <f t="shared" si="141"/>
        <v>0</v>
      </c>
      <c r="R365" s="465" t="s">
        <v>302</v>
      </c>
      <c r="S365" s="461">
        <v>0</v>
      </c>
      <c r="T365" s="462">
        <v>0</v>
      </c>
      <c r="U365" s="461">
        <v>0</v>
      </c>
      <c r="V365" s="462">
        <v>0</v>
      </c>
    </row>
    <row r="366" spans="1:22" x14ac:dyDescent="0.2">
      <c r="A366" s="460" t="s">
        <v>303</v>
      </c>
      <c r="B366" s="461">
        <v>0</v>
      </c>
      <c r="C366" s="462">
        <v>0</v>
      </c>
      <c r="D366" s="461">
        <v>0</v>
      </c>
      <c r="E366" s="462">
        <v>0</v>
      </c>
      <c r="F366" s="461">
        <v>0</v>
      </c>
      <c r="G366" s="462">
        <v>0</v>
      </c>
      <c r="H366" s="461">
        <v>0</v>
      </c>
      <c r="I366" s="462">
        <v>0</v>
      </c>
      <c r="J366" s="461">
        <v>0</v>
      </c>
      <c r="K366" s="462">
        <v>0</v>
      </c>
      <c r="L366" s="435"/>
      <c r="M366" s="461">
        <f t="shared" si="138"/>
        <v>0</v>
      </c>
      <c r="N366" s="462">
        <f t="shared" si="139"/>
        <v>0</v>
      </c>
      <c r="O366" s="461">
        <f t="shared" si="140"/>
        <v>0</v>
      </c>
      <c r="P366" s="462">
        <f t="shared" si="141"/>
        <v>0</v>
      </c>
      <c r="R366" s="460" t="s">
        <v>303</v>
      </c>
      <c r="S366" s="461">
        <v>0</v>
      </c>
      <c r="T366" s="462">
        <v>0</v>
      </c>
      <c r="U366" s="461">
        <v>0</v>
      </c>
      <c r="V366" s="462">
        <v>0</v>
      </c>
    </row>
    <row r="367" spans="1:22" x14ac:dyDescent="0.2">
      <c r="A367" s="465" t="s">
        <v>304</v>
      </c>
      <c r="B367" s="461">
        <v>0</v>
      </c>
      <c r="C367" s="462">
        <v>5457.1804592981734</v>
      </c>
      <c r="D367" s="461">
        <v>0</v>
      </c>
      <c r="E367" s="462">
        <v>7724.0082267504113</v>
      </c>
      <c r="F367" s="461">
        <v>0</v>
      </c>
      <c r="G367" s="462">
        <v>6502.1735639868075</v>
      </c>
      <c r="H367" s="461">
        <v>0</v>
      </c>
      <c r="I367" s="462">
        <v>0</v>
      </c>
      <c r="J367" s="461">
        <v>0</v>
      </c>
      <c r="K367" s="462">
        <v>0</v>
      </c>
      <c r="L367" s="435"/>
      <c r="M367" s="461">
        <f t="shared" si="138"/>
        <v>0</v>
      </c>
      <c r="N367" s="462">
        <f t="shared" si="139"/>
        <v>0</v>
      </c>
      <c r="O367" s="461">
        <f t="shared" si="140"/>
        <v>0</v>
      </c>
      <c r="P367" s="462">
        <f t="shared" si="141"/>
        <v>0</v>
      </c>
      <c r="R367" s="465" t="s">
        <v>304</v>
      </c>
      <c r="S367" s="461">
        <v>0</v>
      </c>
      <c r="T367" s="462">
        <v>0</v>
      </c>
      <c r="U367" s="461">
        <v>0</v>
      </c>
      <c r="V367" s="462">
        <v>0</v>
      </c>
    </row>
    <row r="368" spans="1:22" x14ac:dyDescent="0.2">
      <c r="A368" s="465" t="s">
        <v>305</v>
      </c>
      <c r="B368" s="461">
        <v>0</v>
      </c>
      <c r="C368" s="462">
        <v>0</v>
      </c>
      <c r="D368" s="461">
        <v>0</v>
      </c>
      <c r="E368" s="462">
        <v>0</v>
      </c>
      <c r="F368" s="461">
        <v>0</v>
      </c>
      <c r="G368" s="462">
        <v>0</v>
      </c>
      <c r="H368" s="461">
        <v>0</v>
      </c>
      <c r="I368" s="462">
        <v>0</v>
      </c>
      <c r="J368" s="461">
        <v>0</v>
      </c>
      <c r="K368" s="462">
        <v>0</v>
      </c>
      <c r="L368" s="435"/>
      <c r="M368" s="461">
        <f t="shared" si="138"/>
        <v>0</v>
      </c>
      <c r="N368" s="462">
        <f t="shared" si="139"/>
        <v>0</v>
      </c>
      <c r="O368" s="461">
        <f t="shared" si="140"/>
        <v>0</v>
      </c>
      <c r="P368" s="462">
        <f t="shared" si="141"/>
        <v>0</v>
      </c>
      <c r="R368" s="465" t="s">
        <v>305</v>
      </c>
      <c r="S368" s="461">
        <v>0</v>
      </c>
      <c r="T368" s="462">
        <v>0</v>
      </c>
      <c r="U368" s="461">
        <v>0</v>
      </c>
      <c r="V368" s="462">
        <v>0</v>
      </c>
    </row>
    <row r="369" spans="1:22" x14ac:dyDescent="0.2">
      <c r="A369" s="465" t="s">
        <v>306</v>
      </c>
      <c r="B369" s="461">
        <v>0</v>
      </c>
      <c r="C369" s="462">
        <v>0</v>
      </c>
      <c r="D369" s="461">
        <v>0</v>
      </c>
      <c r="E369" s="462">
        <v>0</v>
      </c>
      <c r="F369" s="461">
        <v>0</v>
      </c>
      <c r="G369" s="462">
        <v>0</v>
      </c>
      <c r="H369" s="461">
        <v>0</v>
      </c>
      <c r="I369" s="462">
        <v>0</v>
      </c>
      <c r="J369" s="461">
        <v>0</v>
      </c>
      <c r="K369" s="462">
        <v>0</v>
      </c>
      <c r="L369" s="435"/>
      <c r="M369" s="461">
        <f t="shared" si="138"/>
        <v>0</v>
      </c>
      <c r="N369" s="462">
        <f t="shared" si="139"/>
        <v>0</v>
      </c>
      <c r="O369" s="461">
        <f t="shared" si="140"/>
        <v>0</v>
      </c>
      <c r="P369" s="462">
        <f t="shared" si="141"/>
        <v>0</v>
      </c>
      <c r="R369" s="465" t="s">
        <v>306</v>
      </c>
      <c r="S369" s="461">
        <v>0</v>
      </c>
      <c r="T369" s="462">
        <v>0</v>
      </c>
      <c r="U369" s="461">
        <v>0</v>
      </c>
      <c r="V369" s="462">
        <v>0</v>
      </c>
    </row>
    <row r="370" spans="1:22" x14ac:dyDescent="0.2">
      <c r="A370" s="465" t="s">
        <v>307</v>
      </c>
      <c r="B370" s="461">
        <v>0</v>
      </c>
      <c r="C370" s="462">
        <v>0</v>
      </c>
      <c r="D370" s="461">
        <v>0</v>
      </c>
      <c r="E370" s="462">
        <v>0</v>
      </c>
      <c r="F370" s="461">
        <v>0</v>
      </c>
      <c r="G370" s="462">
        <v>0</v>
      </c>
      <c r="H370" s="461">
        <v>0</v>
      </c>
      <c r="I370" s="462">
        <v>0</v>
      </c>
      <c r="J370" s="461">
        <v>0</v>
      </c>
      <c r="K370" s="462">
        <v>0</v>
      </c>
      <c r="L370" s="435"/>
      <c r="M370" s="461">
        <f t="shared" si="138"/>
        <v>0</v>
      </c>
      <c r="N370" s="462">
        <f t="shared" si="139"/>
        <v>0</v>
      </c>
      <c r="O370" s="461">
        <f t="shared" si="140"/>
        <v>0</v>
      </c>
      <c r="P370" s="462">
        <f t="shared" si="141"/>
        <v>0</v>
      </c>
      <c r="R370" s="465" t="s">
        <v>307</v>
      </c>
      <c r="S370" s="461">
        <v>0</v>
      </c>
      <c r="T370" s="462">
        <v>0</v>
      </c>
      <c r="U370" s="461">
        <v>0</v>
      </c>
      <c r="V370" s="462">
        <v>0</v>
      </c>
    </row>
    <row r="371" spans="1:22" x14ac:dyDescent="0.2">
      <c r="A371" s="465" t="s">
        <v>308</v>
      </c>
      <c r="B371" s="461">
        <v>0</v>
      </c>
      <c r="C371" s="462">
        <v>36603.988825640568</v>
      </c>
      <c r="D371" s="461">
        <v>0</v>
      </c>
      <c r="E371" s="462">
        <v>38342.415900928529</v>
      </c>
      <c r="F371" s="461">
        <v>0</v>
      </c>
      <c r="G371" s="462">
        <v>42243.801058294106</v>
      </c>
      <c r="H371" s="461">
        <v>0</v>
      </c>
      <c r="I371" s="462">
        <v>46509.01</v>
      </c>
      <c r="J371" s="461">
        <v>0</v>
      </c>
      <c r="K371" s="462">
        <v>49500.930000000008</v>
      </c>
      <c r="L371" s="435"/>
      <c r="M371" s="461">
        <f t="shared" si="138"/>
        <v>0</v>
      </c>
      <c r="N371" s="462">
        <f t="shared" si="139"/>
        <v>0</v>
      </c>
      <c r="O371" s="461">
        <f t="shared" si="140"/>
        <v>0</v>
      </c>
      <c r="P371" s="462">
        <f t="shared" si="141"/>
        <v>412.94999999999709</v>
      </c>
      <c r="R371" s="465" t="s">
        <v>308</v>
      </c>
      <c r="S371" s="461">
        <v>0</v>
      </c>
      <c r="T371" s="462">
        <v>46509.01</v>
      </c>
      <c r="U371" s="461">
        <v>0</v>
      </c>
      <c r="V371" s="462">
        <v>49087.98000000001</v>
      </c>
    </row>
    <row r="372" spans="1:22" x14ac:dyDescent="0.2">
      <c r="A372" s="465" t="s">
        <v>309</v>
      </c>
      <c r="B372" s="461">
        <v>0</v>
      </c>
      <c r="C372" s="462">
        <v>0</v>
      </c>
      <c r="D372" s="461">
        <v>0</v>
      </c>
      <c r="E372" s="462">
        <v>0</v>
      </c>
      <c r="F372" s="461">
        <v>0</v>
      </c>
      <c r="G372" s="462">
        <v>0</v>
      </c>
      <c r="H372" s="461">
        <v>0</v>
      </c>
      <c r="I372" s="462">
        <v>0</v>
      </c>
      <c r="J372" s="461">
        <v>0</v>
      </c>
      <c r="K372" s="462">
        <v>0</v>
      </c>
      <c r="L372" s="435"/>
      <c r="M372" s="461">
        <f t="shared" si="138"/>
        <v>0</v>
      </c>
      <c r="N372" s="462">
        <f t="shared" si="139"/>
        <v>0</v>
      </c>
      <c r="O372" s="461">
        <f t="shared" si="140"/>
        <v>0</v>
      </c>
      <c r="P372" s="462">
        <f t="shared" si="141"/>
        <v>0</v>
      </c>
      <c r="R372" s="465" t="s">
        <v>309</v>
      </c>
      <c r="S372" s="461">
        <v>0</v>
      </c>
      <c r="T372" s="462">
        <v>0</v>
      </c>
      <c r="U372" s="461">
        <v>0</v>
      </c>
      <c r="V372" s="462">
        <v>0</v>
      </c>
    </row>
    <row r="373" spans="1:22" x14ac:dyDescent="0.2">
      <c r="A373" s="466" t="s">
        <v>310</v>
      </c>
      <c r="B373" s="461">
        <v>0</v>
      </c>
      <c r="C373" s="462">
        <v>0</v>
      </c>
      <c r="D373" s="461">
        <v>0</v>
      </c>
      <c r="E373" s="462">
        <v>0</v>
      </c>
      <c r="F373" s="461">
        <v>0</v>
      </c>
      <c r="G373" s="462">
        <v>0</v>
      </c>
      <c r="H373" s="461">
        <v>0</v>
      </c>
      <c r="I373" s="492">
        <v>0</v>
      </c>
      <c r="J373" s="461">
        <v>0</v>
      </c>
      <c r="K373" s="492">
        <v>0</v>
      </c>
      <c r="L373" s="435"/>
      <c r="M373" s="461">
        <f t="shared" si="138"/>
        <v>0</v>
      </c>
      <c r="N373" s="492">
        <f t="shared" si="139"/>
        <v>0</v>
      </c>
      <c r="O373" s="461">
        <f t="shared" si="140"/>
        <v>0</v>
      </c>
      <c r="P373" s="492">
        <f t="shared" si="141"/>
        <v>0</v>
      </c>
      <c r="R373" s="466" t="s">
        <v>310</v>
      </c>
      <c r="S373" s="461">
        <v>0</v>
      </c>
      <c r="T373" s="492">
        <v>0</v>
      </c>
      <c r="U373" s="461">
        <v>0</v>
      </c>
      <c r="V373" s="492">
        <v>0</v>
      </c>
    </row>
    <row r="374" spans="1:22" ht="3" customHeight="1" x14ac:dyDescent="0.2">
      <c r="A374" s="469"/>
      <c r="B374" s="470"/>
      <c r="C374" s="471"/>
      <c r="D374" s="470"/>
      <c r="E374" s="471"/>
      <c r="F374" s="470"/>
      <c r="G374" s="471"/>
      <c r="H374" s="470"/>
      <c r="I374" s="471"/>
      <c r="J374" s="470"/>
      <c r="K374" s="471"/>
      <c r="L374" s="435"/>
      <c r="M374" s="470"/>
      <c r="N374" s="471"/>
      <c r="O374" s="470"/>
      <c r="P374" s="471"/>
      <c r="R374" s="469"/>
      <c r="S374" s="470"/>
      <c r="T374" s="471"/>
      <c r="U374" s="470"/>
      <c r="V374" s="471"/>
    </row>
    <row r="375" spans="1:22" ht="12" thickBot="1" x14ac:dyDescent="0.25">
      <c r="A375" s="472" t="s">
        <v>205</v>
      </c>
      <c r="B375" s="473">
        <f t="shared" ref="B375:G375" si="142">SUM(B364:B374)</f>
        <v>0</v>
      </c>
      <c r="C375" s="474">
        <f t="shared" si="142"/>
        <v>42061.16928493874</v>
      </c>
      <c r="D375" s="473">
        <f t="shared" si="142"/>
        <v>0</v>
      </c>
      <c r="E375" s="474">
        <f t="shared" si="142"/>
        <v>46066.42412767894</v>
      </c>
      <c r="F375" s="473">
        <f t="shared" si="142"/>
        <v>0</v>
      </c>
      <c r="G375" s="474">
        <f t="shared" si="142"/>
        <v>48745.974622280912</v>
      </c>
      <c r="H375" s="473">
        <v>0</v>
      </c>
      <c r="I375" s="474">
        <v>46509.01</v>
      </c>
      <c r="J375" s="473">
        <v>0</v>
      </c>
      <c r="K375" s="474">
        <v>49500.930000000008</v>
      </c>
      <c r="L375" s="435"/>
      <c r="M375" s="473">
        <f>IFERROR(H375-S375,"")</f>
        <v>0</v>
      </c>
      <c r="N375" s="474">
        <f>IFERROR(I375-T375,"")</f>
        <v>0</v>
      </c>
      <c r="O375" s="473">
        <f>IFERROR(J375-U375,"")</f>
        <v>0</v>
      </c>
      <c r="P375" s="474">
        <f>IFERROR(K375-V375,"")</f>
        <v>412.94999999999709</v>
      </c>
      <c r="R375" s="472" t="s">
        <v>205</v>
      </c>
      <c r="S375" s="473">
        <v>0</v>
      </c>
      <c r="T375" s="474">
        <v>46509.01</v>
      </c>
      <c r="U375" s="473">
        <v>0</v>
      </c>
      <c r="V375" s="474">
        <v>49087.98000000001</v>
      </c>
    </row>
    <row r="376" spans="1:22" ht="12" thickTop="1" x14ac:dyDescent="0.2">
      <c r="A376" s="475"/>
      <c r="B376" s="477"/>
      <c r="C376" s="476"/>
      <c r="D376" s="477"/>
      <c r="E376" s="476"/>
      <c r="F376" s="477"/>
      <c r="G376" s="476"/>
      <c r="H376" s="477"/>
      <c r="I376" s="476"/>
      <c r="J376" s="477"/>
      <c r="K376" s="476"/>
      <c r="L376" s="435"/>
      <c r="M376" s="477"/>
      <c r="N376" s="476"/>
      <c r="O376" s="477"/>
      <c r="P376" s="476"/>
      <c r="R376" s="475"/>
      <c r="S376" s="477"/>
      <c r="T376" s="476"/>
      <c r="U376" s="477"/>
      <c r="V376" s="476"/>
    </row>
    <row r="377" spans="1:22" x14ac:dyDescent="0.2">
      <c r="A377" s="476"/>
      <c r="B377" s="477"/>
      <c r="C377" s="476"/>
      <c r="D377" s="477"/>
      <c r="E377" s="476"/>
      <c r="F377" s="477"/>
      <c r="G377" s="476"/>
      <c r="H377" s="477"/>
      <c r="I377" s="476"/>
      <c r="J377" s="477"/>
      <c r="K377" s="476"/>
      <c r="L377" s="435"/>
      <c r="M377" s="477"/>
      <c r="N377" s="476"/>
      <c r="O377" s="477"/>
      <c r="P377" s="476"/>
      <c r="R377" s="476"/>
      <c r="S377" s="477"/>
      <c r="T377" s="476"/>
      <c r="U377" s="477"/>
      <c r="V377" s="476"/>
    </row>
    <row r="378" spans="1:22" x14ac:dyDescent="0.2">
      <c r="A378" s="480" t="s">
        <v>314</v>
      </c>
      <c r="B378" s="482"/>
      <c r="C378" s="481"/>
      <c r="D378" s="482"/>
      <c r="E378" s="481"/>
      <c r="F378" s="482"/>
      <c r="G378" s="481"/>
      <c r="H378" s="482"/>
      <c r="I378" s="481"/>
      <c r="J378" s="482"/>
      <c r="K378" s="481"/>
      <c r="L378" s="435"/>
      <c r="M378" s="482"/>
      <c r="N378" s="481"/>
      <c r="O378" s="482"/>
      <c r="P378" s="481"/>
      <c r="R378" s="480" t="s">
        <v>314</v>
      </c>
      <c r="S378" s="482"/>
      <c r="T378" s="481"/>
      <c r="U378" s="482"/>
      <c r="V378" s="481"/>
    </row>
    <row r="379" spans="1:22" x14ac:dyDescent="0.2">
      <c r="A379" s="455" t="s">
        <v>301</v>
      </c>
      <c r="B379" s="456">
        <v>0</v>
      </c>
      <c r="C379" s="457">
        <v>0</v>
      </c>
      <c r="D379" s="456">
        <v>0</v>
      </c>
      <c r="E379" s="457">
        <v>0</v>
      </c>
      <c r="F379" s="456">
        <v>0</v>
      </c>
      <c r="G379" s="457">
        <v>0</v>
      </c>
      <c r="H379" s="456">
        <v>0</v>
      </c>
      <c r="I379" s="457">
        <v>0</v>
      </c>
      <c r="J379" s="456">
        <v>0</v>
      </c>
      <c r="K379" s="457">
        <v>0</v>
      </c>
      <c r="L379" s="435"/>
      <c r="M379" s="456">
        <f t="shared" ref="M379:M388" si="143">IFERROR(H379-S379,"")</f>
        <v>0</v>
      </c>
      <c r="N379" s="457">
        <f t="shared" ref="N379:N388" si="144">IFERROR(I379-T379,"")</f>
        <v>0</v>
      </c>
      <c r="O379" s="456">
        <f t="shared" ref="O379:O388" si="145">IFERROR(J379-U379,"")</f>
        <v>0</v>
      </c>
      <c r="P379" s="457">
        <f t="shared" ref="P379:P388" si="146">IFERROR(K379-V379,"")</f>
        <v>0</v>
      </c>
      <c r="R379" s="455" t="s">
        <v>301</v>
      </c>
      <c r="S379" s="456">
        <v>0</v>
      </c>
      <c r="T379" s="457">
        <v>0</v>
      </c>
      <c r="U379" s="456">
        <v>0</v>
      </c>
      <c r="V379" s="457">
        <v>0</v>
      </c>
    </row>
    <row r="380" spans="1:22" x14ac:dyDescent="0.2">
      <c r="A380" s="465" t="s">
        <v>302</v>
      </c>
      <c r="B380" s="461">
        <v>0</v>
      </c>
      <c r="C380" s="462">
        <v>0</v>
      </c>
      <c r="D380" s="461">
        <v>0</v>
      </c>
      <c r="E380" s="462">
        <v>0</v>
      </c>
      <c r="F380" s="461">
        <v>0</v>
      </c>
      <c r="G380" s="462">
        <v>0</v>
      </c>
      <c r="H380" s="461">
        <v>0</v>
      </c>
      <c r="I380" s="462">
        <v>0</v>
      </c>
      <c r="J380" s="461">
        <v>0</v>
      </c>
      <c r="K380" s="462">
        <v>0</v>
      </c>
      <c r="L380" s="435"/>
      <c r="M380" s="461">
        <f t="shared" si="143"/>
        <v>0</v>
      </c>
      <c r="N380" s="462">
        <f t="shared" si="144"/>
        <v>0</v>
      </c>
      <c r="O380" s="461">
        <f t="shared" si="145"/>
        <v>0</v>
      </c>
      <c r="P380" s="462">
        <f t="shared" si="146"/>
        <v>0</v>
      </c>
      <c r="R380" s="465" t="s">
        <v>302</v>
      </c>
      <c r="S380" s="461">
        <v>0</v>
      </c>
      <c r="T380" s="462">
        <v>0</v>
      </c>
      <c r="U380" s="461">
        <v>0</v>
      </c>
      <c r="V380" s="462">
        <v>0</v>
      </c>
    </row>
    <row r="381" spans="1:22" x14ac:dyDescent="0.2">
      <c r="A381" s="460" t="s">
        <v>303</v>
      </c>
      <c r="B381" s="461">
        <v>0</v>
      </c>
      <c r="C381" s="462">
        <v>0</v>
      </c>
      <c r="D381" s="461">
        <v>0</v>
      </c>
      <c r="E381" s="462">
        <v>0</v>
      </c>
      <c r="F381" s="461">
        <v>0</v>
      </c>
      <c r="G381" s="462">
        <v>0</v>
      </c>
      <c r="H381" s="461">
        <v>0</v>
      </c>
      <c r="I381" s="462">
        <v>0</v>
      </c>
      <c r="J381" s="461">
        <v>0</v>
      </c>
      <c r="K381" s="462">
        <v>0</v>
      </c>
      <c r="L381" s="435"/>
      <c r="M381" s="461">
        <f t="shared" si="143"/>
        <v>0</v>
      </c>
      <c r="N381" s="462">
        <f t="shared" si="144"/>
        <v>0</v>
      </c>
      <c r="O381" s="461">
        <f t="shared" si="145"/>
        <v>0</v>
      </c>
      <c r="P381" s="462">
        <f t="shared" si="146"/>
        <v>0</v>
      </c>
      <c r="R381" s="460" t="s">
        <v>303</v>
      </c>
      <c r="S381" s="461">
        <v>0</v>
      </c>
      <c r="T381" s="462">
        <v>0</v>
      </c>
      <c r="U381" s="461">
        <v>0</v>
      </c>
      <c r="V381" s="462">
        <v>0</v>
      </c>
    </row>
    <row r="382" spans="1:22" x14ac:dyDescent="0.2">
      <c r="A382" s="465" t="s">
        <v>304</v>
      </c>
      <c r="B382" s="461">
        <v>0</v>
      </c>
      <c r="C382" s="462">
        <v>1663.9449517167286</v>
      </c>
      <c r="D382" s="461">
        <v>0</v>
      </c>
      <c r="E382" s="462">
        <v>2868.7592288196993</v>
      </c>
      <c r="F382" s="461">
        <v>0</v>
      </c>
      <c r="G382" s="462">
        <v>1470.254862403822</v>
      </c>
      <c r="H382" s="461">
        <v>0</v>
      </c>
      <c r="I382" s="462">
        <v>0</v>
      </c>
      <c r="J382" s="461">
        <v>0</v>
      </c>
      <c r="K382" s="462">
        <v>0</v>
      </c>
      <c r="L382" s="435"/>
      <c r="M382" s="461">
        <f t="shared" si="143"/>
        <v>0</v>
      </c>
      <c r="N382" s="462">
        <f t="shared" si="144"/>
        <v>0</v>
      </c>
      <c r="O382" s="461">
        <f t="shared" si="145"/>
        <v>0</v>
      </c>
      <c r="P382" s="462">
        <f t="shared" si="146"/>
        <v>0</v>
      </c>
      <c r="R382" s="465" t="s">
        <v>304</v>
      </c>
      <c r="S382" s="461">
        <v>0</v>
      </c>
      <c r="T382" s="462">
        <v>0</v>
      </c>
      <c r="U382" s="461">
        <v>0</v>
      </c>
      <c r="V382" s="462">
        <v>0</v>
      </c>
    </row>
    <row r="383" spans="1:22" x14ac:dyDescent="0.2">
      <c r="A383" s="465" t="s">
        <v>305</v>
      </c>
      <c r="B383" s="461">
        <v>0</v>
      </c>
      <c r="C383" s="462">
        <v>0</v>
      </c>
      <c r="D383" s="461">
        <v>0</v>
      </c>
      <c r="E383" s="462">
        <v>0</v>
      </c>
      <c r="F383" s="461">
        <v>0</v>
      </c>
      <c r="G383" s="462">
        <v>0</v>
      </c>
      <c r="H383" s="461">
        <v>0</v>
      </c>
      <c r="I383" s="462">
        <v>0</v>
      </c>
      <c r="J383" s="461">
        <v>0</v>
      </c>
      <c r="K383" s="462">
        <v>0</v>
      </c>
      <c r="L383" s="435"/>
      <c r="M383" s="461">
        <f t="shared" si="143"/>
        <v>0</v>
      </c>
      <c r="N383" s="462">
        <f t="shared" si="144"/>
        <v>0</v>
      </c>
      <c r="O383" s="461">
        <f t="shared" si="145"/>
        <v>0</v>
      </c>
      <c r="P383" s="462">
        <f t="shared" si="146"/>
        <v>0</v>
      </c>
      <c r="R383" s="465" t="s">
        <v>305</v>
      </c>
      <c r="S383" s="461">
        <v>0</v>
      </c>
      <c r="T383" s="462">
        <v>0</v>
      </c>
      <c r="U383" s="461">
        <v>0</v>
      </c>
      <c r="V383" s="462">
        <v>0</v>
      </c>
    </row>
    <row r="384" spans="1:22" x14ac:dyDescent="0.2">
      <c r="A384" s="465" t="s">
        <v>306</v>
      </c>
      <c r="B384" s="461">
        <v>0</v>
      </c>
      <c r="C384" s="462">
        <v>0</v>
      </c>
      <c r="D384" s="461">
        <v>0</v>
      </c>
      <c r="E384" s="462">
        <v>0</v>
      </c>
      <c r="F384" s="461">
        <v>0</v>
      </c>
      <c r="G384" s="462">
        <v>0</v>
      </c>
      <c r="H384" s="461">
        <v>0</v>
      </c>
      <c r="I384" s="462">
        <v>0</v>
      </c>
      <c r="J384" s="461">
        <v>0</v>
      </c>
      <c r="K384" s="462">
        <v>0</v>
      </c>
      <c r="L384" s="435"/>
      <c r="M384" s="461">
        <f t="shared" si="143"/>
        <v>0</v>
      </c>
      <c r="N384" s="462">
        <f t="shared" si="144"/>
        <v>0</v>
      </c>
      <c r="O384" s="461">
        <f t="shared" si="145"/>
        <v>0</v>
      </c>
      <c r="P384" s="462">
        <f t="shared" si="146"/>
        <v>0</v>
      </c>
      <c r="R384" s="465" t="s">
        <v>306</v>
      </c>
      <c r="S384" s="461">
        <v>0</v>
      </c>
      <c r="T384" s="462">
        <v>0</v>
      </c>
      <c r="U384" s="461">
        <v>0</v>
      </c>
      <c r="V384" s="462">
        <v>0</v>
      </c>
    </row>
    <row r="385" spans="1:22" x14ac:dyDescent="0.2">
      <c r="A385" s="465" t="s">
        <v>307</v>
      </c>
      <c r="B385" s="461">
        <v>0</v>
      </c>
      <c r="C385" s="462">
        <v>0</v>
      </c>
      <c r="D385" s="461">
        <v>0</v>
      </c>
      <c r="E385" s="462">
        <v>0</v>
      </c>
      <c r="F385" s="461">
        <v>0</v>
      </c>
      <c r="G385" s="462">
        <v>0</v>
      </c>
      <c r="H385" s="461">
        <v>0</v>
      </c>
      <c r="I385" s="462">
        <v>0</v>
      </c>
      <c r="J385" s="461">
        <v>0</v>
      </c>
      <c r="K385" s="462">
        <v>0</v>
      </c>
      <c r="L385" s="435"/>
      <c r="M385" s="461">
        <f t="shared" si="143"/>
        <v>0</v>
      </c>
      <c r="N385" s="462">
        <f t="shared" si="144"/>
        <v>0</v>
      </c>
      <c r="O385" s="461">
        <f t="shared" si="145"/>
        <v>0</v>
      </c>
      <c r="P385" s="462">
        <f t="shared" si="146"/>
        <v>0</v>
      </c>
      <c r="R385" s="465" t="s">
        <v>307</v>
      </c>
      <c r="S385" s="461">
        <v>0</v>
      </c>
      <c r="T385" s="462">
        <v>0</v>
      </c>
      <c r="U385" s="461">
        <v>0</v>
      </c>
      <c r="V385" s="462">
        <v>0</v>
      </c>
    </row>
    <row r="386" spans="1:22" x14ac:dyDescent="0.2">
      <c r="A386" s="465" t="s">
        <v>308</v>
      </c>
      <c r="B386" s="461">
        <v>0</v>
      </c>
      <c r="C386" s="462">
        <v>37908.288657257319</v>
      </c>
      <c r="D386" s="461">
        <v>0</v>
      </c>
      <c r="E386" s="462">
        <v>39728.460592611125</v>
      </c>
      <c r="F386" s="461">
        <v>0</v>
      </c>
      <c r="G386" s="462">
        <v>43420.457176541669</v>
      </c>
      <c r="H386" s="461">
        <v>0</v>
      </c>
      <c r="I386" s="462">
        <v>48429.880000000005</v>
      </c>
      <c r="J386" s="461">
        <v>0</v>
      </c>
      <c r="K386" s="462">
        <v>53435.54</v>
      </c>
      <c r="L386" s="435"/>
      <c r="M386" s="461">
        <f t="shared" si="143"/>
        <v>0</v>
      </c>
      <c r="N386" s="462">
        <f t="shared" si="144"/>
        <v>0</v>
      </c>
      <c r="O386" s="461">
        <f t="shared" si="145"/>
        <v>0</v>
      </c>
      <c r="P386" s="462">
        <f t="shared" si="146"/>
        <v>1261.4700000000012</v>
      </c>
      <c r="R386" s="465" t="s">
        <v>308</v>
      </c>
      <c r="S386" s="461">
        <v>0</v>
      </c>
      <c r="T386" s="462">
        <v>48429.880000000005</v>
      </c>
      <c r="U386" s="461">
        <v>0</v>
      </c>
      <c r="V386" s="462">
        <v>52174.07</v>
      </c>
    </row>
    <row r="387" spans="1:22" x14ac:dyDescent="0.2">
      <c r="A387" s="465" t="s">
        <v>309</v>
      </c>
      <c r="B387" s="461">
        <v>0</v>
      </c>
      <c r="C387" s="462">
        <v>0</v>
      </c>
      <c r="D387" s="461">
        <v>0</v>
      </c>
      <c r="E387" s="462">
        <v>0</v>
      </c>
      <c r="F387" s="461">
        <v>0</v>
      </c>
      <c r="G387" s="462">
        <v>0</v>
      </c>
      <c r="H387" s="461">
        <v>0</v>
      </c>
      <c r="I387" s="462">
        <v>0</v>
      </c>
      <c r="J387" s="461">
        <v>0</v>
      </c>
      <c r="K387" s="462">
        <v>0</v>
      </c>
      <c r="L387" s="435"/>
      <c r="M387" s="461">
        <f t="shared" si="143"/>
        <v>0</v>
      </c>
      <c r="N387" s="462">
        <f t="shared" si="144"/>
        <v>0</v>
      </c>
      <c r="O387" s="461">
        <f t="shared" si="145"/>
        <v>0</v>
      </c>
      <c r="P387" s="462">
        <f t="shared" si="146"/>
        <v>0</v>
      </c>
      <c r="R387" s="465" t="s">
        <v>309</v>
      </c>
      <c r="S387" s="461">
        <v>0</v>
      </c>
      <c r="T387" s="462">
        <v>0</v>
      </c>
      <c r="U387" s="461">
        <v>0</v>
      </c>
      <c r="V387" s="462">
        <v>0</v>
      </c>
    </row>
    <row r="388" spans="1:22" x14ac:dyDescent="0.2">
      <c r="A388" s="466" t="s">
        <v>310</v>
      </c>
      <c r="B388" s="461">
        <v>0</v>
      </c>
      <c r="C388" s="462">
        <v>0</v>
      </c>
      <c r="D388" s="461">
        <v>0</v>
      </c>
      <c r="E388" s="462">
        <v>0</v>
      </c>
      <c r="F388" s="461">
        <v>0</v>
      </c>
      <c r="G388" s="462">
        <v>0</v>
      </c>
      <c r="H388" s="461">
        <v>0</v>
      </c>
      <c r="I388" s="492">
        <v>0</v>
      </c>
      <c r="J388" s="461">
        <v>0</v>
      </c>
      <c r="K388" s="492">
        <v>0</v>
      </c>
      <c r="L388" s="435"/>
      <c r="M388" s="461">
        <f t="shared" si="143"/>
        <v>0</v>
      </c>
      <c r="N388" s="492">
        <f t="shared" si="144"/>
        <v>0</v>
      </c>
      <c r="O388" s="461">
        <f t="shared" si="145"/>
        <v>0</v>
      </c>
      <c r="P388" s="492">
        <f t="shared" si="146"/>
        <v>0</v>
      </c>
      <c r="R388" s="466" t="s">
        <v>310</v>
      </c>
      <c r="S388" s="461">
        <v>0</v>
      </c>
      <c r="T388" s="492">
        <v>0</v>
      </c>
      <c r="U388" s="461">
        <v>0</v>
      </c>
      <c r="V388" s="492">
        <v>0</v>
      </c>
    </row>
    <row r="389" spans="1:22" ht="3" customHeight="1" x14ac:dyDescent="0.2">
      <c r="A389" s="469"/>
      <c r="B389" s="470"/>
      <c r="C389" s="471"/>
      <c r="D389" s="470"/>
      <c r="E389" s="471"/>
      <c r="F389" s="470"/>
      <c r="G389" s="471"/>
      <c r="H389" s="470"/>
      <c r="I389" s="471"/>
      <c r="J389" s="470"/>
      <c r="K389" s="471"/>
      <c r="L389" s="435"/>
      <c r="M389" s="470"/>
      <c r="N389" s="471"/>
      <c r="O389" s="470"/>
      <c r="P389" s="471"/>
      <c r="R389" s="469"/>
      <c r="S389" s="470"/>
      <c r="T389" s="471"/>
      <c r="U389" s="470"/>
      <c r="V389" s="471"/>
    </row>
    <row r="390" spans="1:22" ht="12" thickBot="1" x14ac:dyDescent="0.25">
      <c r="A390" s="472" t="s">
        <v>205</v>
      </c>
      <c r="B390" s="473">
        <f t="shared" ref="B390:G390" si="147">SUM(B379:B389)</f>
        <v>0</v>
      </c>
      <c r="C390" s="474">
        <f t="shared" si="147"/>
        <v>39572.233608974049</v>
      </c>
      <c r="D390" s="473">
        <f t="shared" si="147"/>
        <v>0</v>
      </c>
      <c r="E390" s="474">
        <f t="shared" si="147"/>
        <v>42597.219821430823</v>
      </c>
      <c r="F390" s="473">
        <f t="shared" si="147"/>
        <v>0</v>
      </c>
      <c r="G390" s="474">
        <f t="shared" si="147"/>
        <v>44890.712038945494</v>
      </c>
      <c r="H390" s="473">
        <v>0</v>
      </c>
      <c r="I390" s="474">
        <v>48429.880000000005</v>
      </c>
      <c r="J390" s="473">
        <v>0</v>
      </c>
      <c r="K390" s="474">
        <v>53435.54</v>
      </c>
      <c r="L390" s="435"/>
      <c r="M390" s="473">
        <f>IFERROR(H390-S390,"")</f>
        <v>0</v>
      </c>
      <c r="N390" s="474">
        <f>IFERROR(I390-T390,"")</f>
        <v>0</v>
      </c>
      <c r="O390" s="473">
        <f>IFERROR(J390-U390,"")</f>
        <v>0</v>
      </c>
      <c r="P390" s="474">
        <f>IFERROR(K390-V390,"")</f>
        <v>1261.4700000000012</v>
      </c>
      <c r="R390" s="472" t="s">
        <v>205</v>
      </c>
      <c r="S390" s="473">
        <v>0</v>
      </c>
      <c r="T390" s="474">
        <v>48429.880000000005</v>
      </c>
      <c r="U390" s="473">
        <v>0</v>
      </c>
      <c r="V390" s="474">
        <v>52174.07</v>
      </c>
    </row>
    <row r="391" spans="1:22" ht="12" thickTop="1" x14ac:dyDescent="0.2">
      <c r="A391" s="475"/>
      <c r="B391" s="477"/>
      <c r="C391" s="476"/>
      <c r="D391" s="477"/>
      <c r="E391" s="476"/>
      <c r="F391" s="477"/>
      <c r="G391" s="476"/>
      <c r="H391" s="477"/>
      <c r="I391" s="476"/>
      <c r="J391" s="477"/>
      <c r="K391" s="476"/>
      <c r="L391" s="435"/>
      <c r="M391" s="477"/>
      <c r="N391" s="476"/>
      <c r="O391" s="477"/>
      <c r="P391" s="476"/>
      <c r="R391" s="475"/>
      <c r="S391" s="477"/>
      <c r="T391" s="476"/>
      <c r="U391" s="477"/>
      <c r="V391" s="476"/>
    </row>
    <row r="392" spans="1:22" x14ac:dyDescent="0.2">
      <c r="A392" s="476"/>
      <c r="B392" s="477"/>
      <c r="C392" s="476"/>
      <c r="D392" s="477"/>
      <c r="E392" s="476"/>
      <c r="F392" s="477"/>
      <c r="G392" s="476"/>
      <c r="H392" s="477"/>
      <c r="I392" s="476"/>
      <c r="J392" s="477"/>
      <c r="K392" s="476"/>
      <c r="L392" s="435"/>
      <c r="M392" s="477"/>
      <c r="N392" s="476"/>
      <c r="O392" s="477"/>
      <c r="P392" s="476"/>
      <c r="R392" s="476"/>
      <c r="S392" s="477"/>
      <c r="T392" s="476"/>
      <c r="U392" s="477"/>
      <c r="V392" s="476"/>
    </row>
    <row r="393" spans="1:22" ht="11.25" customHeight="1" x14ac:dyDescent="0.2">
      <c r="A393" s="480"/>
      <c r="B393" s="477"/>
      <c r="C393" s="476"/>
      <c r="D393" s="477"/>
      <c r="E393" s="476"/>
      <c r="F393" s="477"/>
      <c r="G393" s="476"/>
      <c r="H393" s="477"/>
      <c r="I393" s="476"/>
      <c r="J393" s="477"/>
      <c r="K393" s="476"/>
      <c r="L393" s="435"/>
      <c r="M393" s="477"/>
      <c r="N393" s="476"/>
      <c r="O393" s="477"/>
      <c r="P393" s="476"/>
      <c r="R393" s="480"/>
      <c r="S393" s="477"/>
      <c r="T393" s="476"/>
      <c r="U393" s="477"/>
      <c r="V393" s="476"/>
    </row>
    <row r="394" spans="1:22" ht="12.75" x14ac:dyDescent="0.2">
      <c r="A394" s="1547" t="s">
        <v>201</v>
      </c>
      <c r="B394" s="489"/>
      <c r="C394" s="488"/>
      <c r="D394" s="489"/>
      <c r="E394" s="488"/>
      <c r="F394" s="489"/>
      <c r="G394" s="488"/>
      <c r="H394" s="489"/>
      <c r="I394" s="488"/>
      <c r="J394" s="489"/>
      <c r="K394" s="488"/>
      <c r="L394" s="435" t="s">
        <v>143</v>
      </c>
      <c r="M394" s="489"/>
      <c r="N394" s="488"/>
      <c r="O394" s="489"/>
      <c r="P394" s="488"/>
      <c r="R394" s="1547" t="s">
        <v>201</v>
      </c>
      <c r="S394" s="489"/>
      <c r="T394" s="488"/>
      <c r="U394" s="489"/>
      <c r="V394" s="488"/>
    </row>
    <row r="395" spans="1:22" ht="11.25" customHeight="1" x14ac:dyDescent="0.2">
      <c r="A395" s="1548"/>
      <c r="B395" s="491"/>
      <c r="C395" s="490"/>
      <c r="D395" s="491"/>
      <c r="E395" s="490"/>
      <c r="F395" s="491"/>
      <c r="G395" s="490"/>
      <c r="H395" s="491"/>
      <c r="I395" s="490"/>
      <c r="J395" s="491"/>
      <c r="K395" s="490"/>
      <c r="L395" s="435"/>
      <c r="M395" s="491"/>
      <c r="N395" s="490"/>
      <c r="O395" s="491"/>
      <c r="P395" s="490"/>
      <c r="R395" s="1548"/>
      <c r="S395" s="491"/>
      <c r="T395" s="490"/>
      <c r="U395" s="491"/>
      <c r="V395" s="490"/>
    </row>
    <row r="396" spans="1:22" x14ac:dyDescent="0.2">
      <c r="A396" s="454" t="s">
        <v>300</v>
      </c>
      <c r="B396" s="487"/>
      <c r="C396" s="486"/>
      <c r="D396" s="487"/>
      <c r="E396" s="486"/>
      <c r="F396" s="487"/>
      <c r="G396" s="486"/>
      <c r="H396" s="487"/>
      <c r="I396" s="486"/>
      <c r="J396" s="487"/>
      <c r="K396" s="486"/>
      <c r="L396" s="435"/>
      <c r="M396" s="487"/>
      <c r="N396" s="486"/>
      <c r="O396" s="487"/>
      <c r="P396" s="486"/>
      <c r="R396" s="454" t="s">
        <v>300</v>
      </c>
      <c r="S396" s="487"/>
      <c r="T396" s="486"/>
      <c r="U396" s="487"/>
      <c r="V396" s="486"/>
    </row>
    <row r="397" spans="1:22" x14ac:dyDescent="0.2">
      <c r="A397" s="455" t="s">
        <v>301</v>
      </c>
      <c r="B397" s="456">
        <v>1</v>
      </c>
      <c r="C397" s="457">
        <f>SUM(C412,C427,C442,C457)</f>
        <v>86421.577808667746</v>
      </c>
      <c r="D397" s="456">
        <v>1</v>
      </c>
      <c r="E397" s="457">
        <f t="shared" ref="E397:E406" si="148">SUM(E412,E427,E442,E457)</f>
        <v>87398.750690626563</v>
      </c>
      <c r="F397" s="456">
        <v>1</v>
      </c>
      <c r="G397" s="457">
        <f t="shared" ref="G397:G406" si="149">SUM(G412,G427,G442,G457)</f>
        <v>96415.600293964279</v>
      </c>
      <c r="H397" s="456">
        <v>1</v>
      </c>
      <c r="I397" s="456">
        <v>94879.19</v>
      </c>
      <c r="J397" s="456">
        <v>1</v>
      </c>
      <c r="K397" s="456">
        <v>97373.119999999995</v>
      </c>
      <c r="L397" s="435"/>
      <c r="M397" s="456">
        <f t="shared" ref="M397:M406" si="150">IFERROR(H397-S397,"")</f>
        <v>0</v>
      </c>
      <c r="N397" s="456">
        <f t="shared" ref="N397:N406" si="151">IFERROR(I397-T397,"")</f>
        <v>0</v>
      </c>
      <c r="O397" s="456">
        <f t="shared" ref="O397:O406" si="152">IFERROR(J397-U397,"")</f>
        <v>0</v>
      </c>
      <c r="P397" s="456">
        <f t="shared" ref="P397:P406" si="153">IFERROR(K397-V397,"")</f>
        <v>0</v>
      </c>
      <c r="R397" s="455" t="s">
        <v>301</v>
      </c>
      <c r="S397" s="456">
        <v>1</v>
      </c>
      <c r="T397" s="456">
        <v>94879.19</v>
      </c>
      <c r="U397" s="456">
        <v>1</v>
      </c>
      <c r="V397" s="456">
        <v>97373.119999999995</v>
      </c>
    </row>
    <row r="398" spans="1:22" x14ac:dyDescent="0.2">
      <c r="A398" s="465" t="s">
        <v>302</v>
      </c>
      <c r="B398" s="461">
        <v>0</v>
      </c>
      <c r="C398" s="462">
        <f t="shared" ref="C398:C406" si="154">SUM(C413,C428,C443,C458)</f>
        <v>0</v>
      </c>
      <c r="D398" s="461">
        <v>0</v>
      </c>
      <c r="E398" s="462">
        <f t="shared" si="148"/>
        <v>0</v>
      </c>
      <c r="F398" s="461">
        <v>0</v>
      </c>
      <c r="G398" s="462">
        <f t="shared" si="149"/>
        <v>0</v>
      </c>
      <c r="H398" s="461">
        <v>0</v>
      </c>
      <c r="I398" s="462">
        <v>0</v>
      </c>
      <c r="J398" s="461">
        <v>0</v>
      </c>
      <c r="K398" s="462">
        <v>0</v>
      </c>
      <c r="L398" s="435"/>
      <c r="M398" s="461">
        <f t="shared" si="150"/>
        <v>0</v>
      </c>
      <c r="N398" s="462">
        <f t="shared" si="151"/>
        <v>0</v>
      </c>
      <c r="O398" s="461">
        <f t="shared" si="152"/>
        <v>0</v>
      </c>
      <c r="P398" s="462">
        <f t="shared" si="153"/>
        <v>0</v>
      </c>
      <c r="R398" s="465" t="s">
        <v>302</v>
      </c>
      <c r="S398" s="461">
        <v>0</v>
      </c>
      <c r="T398" s="462">
        <v>0</v>
      </c>
      <c r="U398" s="461">
        <v>0</v>
      </c>
      <c r="V398" s="462">
        <v>0</v>
      </c>
    </row>
    <row r="399" spans="1:22" x14ac:dyDescent="0.2">
      <c r="A399" s="460" t="s">
        <v>303</v>
      </c>
      <c r="B399" s="461">
        <v>0</v>
      </c>
      <c r="C399" s="462">
        <f t="shared" si="154"/>
        <v>0</v>
      </c>
      <c r="D399" s="461">
        <v>0</v>
      </c>
      <c r="E399" s="462">
        <f t="shared" si="148"/>
        <v>0</v>
      </c>
      <c r="F399" s="461">
        <v>0</v>
      </c>
      <c r="G399" s="462">
        <f t="shared" si="149"/>
        <v>0</v>
      </c>
      <c r="H399" s="461">
        <v>0</v>
      </c>
      <c r="I399" s="462">
        <v>0</v>
      </c>
      <c r="J399" s="461">
        <v>0</v>
      </c>
      <c r="K399" s="462">
        <v>0</v>
      </c>
      <c r="L399" s="435"/>
      <c r="M399" s="461">
        <f t="shared" si="150"/>
        <v>0</v>
      </c>
      <c r="N399" s="462">
        <f t="shared" si="151"/>
        <v>0</v>
      </c>
      <c r="O399" s="461">
        <f t="shared" si="152"/>
        <v>0</v>
      </c>
      <c r="P399" s="462">
        <f t="shared" si="153"/>
        <v>0</v>
      </c>
      <c r="R399" s="460" t="s">
        <v>303</v>
      </c>
      <c r="S399" s="461">
        <v>0</v>
      </c>
      <c r="T399" s="462">
        <v>0</v>
      </c>
      <c r="U399" s="461">
        <v>0</v>
      </c>
      <c r="V399" s="462">
        <v>0</v>
      </c>
    </row>
    <row r="400" spans="1:22" x14ac:dyDescent="0.2">
      <c r="A400" s="465" t="s">
        <v>304</v>
      </c>
      <c r="B400" s="461">
        <v>0</v>
      </c>
      <c r="C400" s="462">
        <f t="shared" si="154"/>
        <v>0</v>
      </c>
      <c r="D400" s="461">
        <v>0</v>
      </c>
      <c r="E400" s="462">
        <f t="shared" si="148"/>
        <v>0</v>
      </c>
      <c r="F400" s="461">
        <v>0</v>
      </c>
      <c r="G400" s="462">
        <f t="shared" si="149"/>
        <v>0</v>
      </c>
      <c r="H400" s="461">
        <v>0</v>
      </c>
      <c r="I400" s="462">
        <v>0</v>
      </c>
      <c r="J400" s="461">
        <v>0</v>
      </c>
      <c r="K400" s="462">
        <v>0</v>
      </c>
      <c r="L400" s="435"/>
      <c r="M400" s="461">
        <f t="shared" si="150"/>
        <v>0</v>
      </c>
      <c r="N400" s="462">
        <f t="shared" si="151"/>
        <v>0</v>
      </c>
      <c r="O400" s="461">
        <f t="shared" si="152"/>
        <v>0</v>
      </c>
      <c r="P400" s="462">
        <f t="shared" si="153"/>
        <v>0</v>
      </c>
      <c r="R400" s="465" t="s">
        <v>304</v>
      </c>
      <c r="S400" s="461">
        <v>0</v>
      </c>
      <c r="T400" s="462">
        <v>0</v>
      </c>
      <c r="U400" s="461">
        <v>0</v>
      </c>
      <c r="V400" s="462">
        <v>0</v>
      </c>
    </row>
    <row r="401" spans="1:22" x14ac:dyDescent="0.2">
      <c r="A401" s="465" t="s">
        <v>305</v>
      </c>
      <c r="B401" s="461">
        <v>1</v>
      </c>
      <c r="C401" s="462">
        <f t="shared" si="154"/>
        <v>186632.93324291107</v>
      </c>
      <c r="D401" s="461">
        <v>1</v>
      </c>
      <c r="E401" s="462">
        <f t="shared" si="148"/>
        <v>217056.88093424423</v>
      </c>
      <c r="F401" s="461">
        <v>1</v>
      </c>
      <c r="G401" s="462">
        <f t="shared" si="149"/>
        <v>199512.46492750963</v>
      </c>
      <c r="H401" s="461">
        <v>2</v>
      </c>
      <c r="I401" s="462">
        <v>224267.01</v>
      </c>
      <c r="J401" s="461">
        <v>2</v>
      </c>
      <c r="K401" s="462">
        <v>229801.57</v>
      </c>
      <c r="L401" s="435"/>
      <c r="M401" s="461">
        <f t="shared" si="150"/>
        <v>0</v>
      </c>
      <c r="N401" s="462">
        <f t="shared" si="151"/>
        <v>0</v>
      </c>
      <c r="O401" s="461">
        <f t="shared" si="152"/>
        <v>0</v>
      </c>
      <c r="P401" s="462">
        <f t="shared" si="153"/>
        <v>0</v>
      </c>
      <c r="R401" s="465" t="s">
        <v>305</v>
      </c>
      <c r="S401" s="461">
        <v>2</v>
      </c>
      <c r="T401" s="462">
        <v>224267.01</v>
      </c>
      <c r="U401" s="461">
        <v>2</v>
      </c>
      <c r="V401" s="462">
        <v>229801.57</v>
      </c>
    </row>
    <row r="402" spans="1:22" x14ac:dyDescent="0.2">
      <c r="A402" s="465" t="s">
        <v>306</v>
      </c>
      <c r="B402" s="461">
        <v>0</v>
      </c>
      <c r="C402" s="462">
        <f t="shared" si="154"/>
        <v>0</v>
      </c>
      <c r="D402" s="461">
        <v>0</v>
      </c>
      <c r="E402" s="462">
        <f t="shared" si="148"/>
        <v>0</v>
      </c>
      <c r="F402" s="461">
        <v>0</v>
      </c>
      <c r="G402" s="462">
        <f t="shared" si="149"/>
        <v>0</v>
      </c>
      <c r="H402" s="461">
        <v>0</v>
      </c>
      <c r="I402" s="462">
        <v>0</v>
      </c>
      <c r="J402" s="461">
        <v>0</v>
      </c>
      <c r="K402" s="462">
        <v>0</v>
      </c>
      <c r="L402" s="435"/>
      <c r="M402" s="461">
        <f t="shared" si="150"/>
        <v>0</v>
      </c>
      <c r="N402" s="462">
        <f t="shared" si="151"/>
        <v>0</v>
      </c>
      <c r="O402" s="461">
        <f t="shared" si="152"/>
        <v>0</v>
      </c>
      <c r="P402" s="462">
        <f t="shared" si="153"/>
        <v>0</v>
      </c>
      <c r="R402" s="465" t="s">
        <v>306</v>
      </c>
      <c r="S402" s="461">
        <v>0</v>
      </c>
      <c r="T402" s="462">
        <v>0</v>
      </c>
      <c r="U402" s="461">
        <v>0</v>
      </c>
      <c r="V402" s="462">
        <v>0</v>
      </c>
    </row>
    <row r="403" spans="1:22" x14ac:dyDescent="0.2">
      <c r="A403" s="465" t="s">
        <v>307</v>
      </c>
      <c r="B403" s="461">
        <v>0</v>
      </c>
      <c r="C403" s="462">
        <f t="shared" si="154"/>
        <v>0</v>
      </c>
      <c r="D403" s="461">
        <v>0</v>
      </c>
      <c r="E403" s="462">
        <f t="shared" si="148"/>
        <v>0</v>
      </c>
      <c r="F403" s="461">
        <v>0</v>
      </c>
      <c r="G403" s="462">
        <f t="shared" si="149"/>
        <v>0</v>
      </c>
      <c r="H403" s="461">
        <v>0</v>
      </c>
      <c r="I403" s="462">
        <v>0</v>
      </c>
      <c r="J403" s="461">
        <v>0</v>
      </c>
      <c r="K403" s="462">
        <v>0</v>
      </c>
      <c r="L403" s="435"/>
      <c r="M403" s="461">
        <f t="shared" si="150"/>
        <v>0</v>
      </c>
      <c r="N403" s="462">
        <f t="shared" si="151"/>
        <v>0</v>
      </c>
      <c r="O403" s="461">
        <f t="shared" si="152"/>
        <v>0</v>
      </c>
      <c r="P403" s="462">
        <f t="shared" si="153"/>
        <v>0</v>
      </c>
      <c r="R403" s="465" t="s">
        <v>307</v>
      </c>
      <c r="S403" s="461">
        <v>0</v>
      </c>
      <c r="T403" s="462">
        <v>0</v>
      </c>
      <c r="U403" s="461">
        <v>0</v>
      </c>
      <c r="V403" s="462">
        <v>0</v>
      </c>
    </row>
    <row r="404" spans="1:22" x14ac:dyDescent="0.2">
      <c r="A404" s="465" t="s">
        <v>308</v>
      </c>
      <c r="B404" s="461">
        <v>0</v>
      </c>
      <c r="C404" s="462">
        <f t="shared" si="154"/>
        <v>0</v>
      </c>
      <c r="D404" s="461">
        <v>0</v>
      </c>
      <c r="E404" s="462">
        <f t="shared" si="148"/>
        <v>0</v>
      </c>
      <c r="F404" s="461">
        <v>0</v>
      </c>
      <c r="G404" s="462">
        <f t="shared" si="149"/>
        <v>0</v>
      </c>
      <c r="H404" s="461">
        <v>0</v>
      </c>
      <c r="I404" s="462">
        <v>0</v>
      </c>
      <c r="J404" s="461">
        <v>0</v>
      </c>
      <c r="K404" s="462">
        <v>0</v>
      </c>
      <c r="L404" s="435"/>
      <c r="M404" s="461">
        <f t="shared" si="150"/>
        <v>0</v>
      </c>
      <c r="N404" s="462">
        <f t="shared" si="151"/>
        <v>0</v>
      </c>
      <c r="O404" s="461">
        <f t="shared" si="152"/>
        <v>0</v>
      </c>
      <c r="P404" s="462">
        <f t="shared" si="153"/>
        <v>0</v>
      </c>
      <c r="R404" s="465" t="s">
        <v>308</v>
      </c>
      <c r="S404" s="461">
        <v>0</v>
      </c>
      <c r="T404" s="462">
        <v>0</v>
      </c>
      <c r="U404" s="461">
        <v>0</v>
      </c>
      <c r="V404" s="462">
        <v>0</v>
      </c>
    </row>
    <row r="405" spans="1:22" x14ac:dyDescent="0.2">
      <c r="A405" s="465" t="s">
        <v>309</v>
      </c>
      <c r="B405" s="461">
        <v>0</v>
      </c>
      <c r="C405" s="462">
        <f t="shared" si="154"/>
        <v>0</v>
      </c>
      <c r="D405" s="461">
        <v>0</v>
      </c>
      <c r="E405" s="462">
        <f t="shared" si="148"/>
        <v>0</v>
      </c>
      <c r="F405" s="461">
        <v>0</v>
      </c>
      <c r="G405" s="462">
        <f t="shared" si="149"/>
        <v>0</v>
      </c>
      <c r="H405" s="461">
        <v>0</v>
      </c>
      <c r="I405" s="462">
        <v>0</v>
      </c>
      <c r="J405" s="461">
        <v>0</v>
      </c>
      <c r="K405" s="462">
        <v>0</v>
      </c>
      <c r="L405" s="435"/>
      <c r="M405" s="461">
        <f t="shared" si="150"/>
        <v>0</v>
      </c>
      <c r="N405" s="462">
        <f t="shared" si="151"/>
        <v>0</v>
      </c>
      <c r="O405" s="461">
        <f t="shared" si="152"/>
        <v>0</v>
      </c>
      <c r="P405" s="462">
        <f t="shared" si="153"/>
        <v>0</v>
      </c>
      <c r="R405" s="465" t="s">
        <v>309</v>
      </c>
      <c r="S405" s="461">
        <v>0</v>
      </c>
      <c r="T405" s="462">
        <v>0</v>
      </c>
      <c r="U405" s="461">
        <v>0</v>
      </c>
      <c r="V405" s="462">
        <v>0</v>
      </c>
    </row>
    <row r="406" spans="1:22" x14ac:dyDescent="0.2">
      <c r="A406" s="466" t="s">
        <v>310</v>
      </c>
      <c r="B406" s="461">
        <v>1.75</v>
      </c>
      <c r="C406" s="462">
        <f t="shared" si="154"/>
        <v>90390.76885832673</v>
      </c>
      <c r="D406" s="461">
        <v>2</v>
      </c>
      <c r="E406" s="462">
        <f t="shared" si="148"/>
        <v>97271.40318138538</v>
      </c>
      <c r="F406" s="461">
        <v>1.8333333333333333</v>
      </c>
      <c r="G406" s="462">
        <f t="shared" si="149"/>
        <v>96358.850005519271</v>
      </c>
      <c r="H406" s="461">
        <v>1</v>
      </c>
      <c r="I406" s="492">
        <v>114586.78999999998</v>
      </c>
      <c r="J406" s="461">
        <v>1</v>
      </c>
      <c r="K406" s="492">
        <v>118079.83</v>
      </c>
      <c r="L406" s="435"/>
      <c r="M406" s="461">
        <f t="shared" si="150"/>
        <v>0</v>
      </c>
      <c r="N406" s="492">
        <f t="shared" si="151"/>
        <v>0</v>
      </c>
      <c r="O406" s="461">
        <f t="shared" si="152"/>
        <v>0</v>
      </c>
      <c r="P406" s="492">
        <f t="shared" si="153"/>
        <v>0</v>
      </c>
      <c r="R406" s="466" t="s">
        <v>310</v>
      </c>
      <c r="S406" s="461">
        <v>1</v>
      </c>
      <c r="T406" s="492">
        <v>114586.78999999998</v>
      </c>
      <c r="U406" s="461">
        <v>1</v>
      </c>
      <c r="V406" s="492">
        <v>118079.83</v>
      </c>
    </row>
    <row r="407" spans="1:22" ht="3" customHeight="1" x14ac:dyDescent="0.2">
      <c r="A407" s="469"/>
      <c r="B407" s="470"/>
      <c r="C407" s="471"/>
      <c r="D407" s="470"/>
      <c r="E407" s="471"/>
      <c r="F407" s="470"/>
      <c r="G407" s="471"/>
      <c r="H407" s="470"/>
      <c r="I407" s="471"/>
      <c r="J407" s="470"/>
      <c r="K407" s="471"/>
      <c r="L407" s="435"/>
      <c r="M407" s="470"/>
      <c r="N407" s="471"/>
      <c r="O407" s="470"/>
      <c r="P407" s="471"/>
      <c r="R407" s="469"/>
      <c r="S407" s="470"/>
      <c r="T407" s="471"/>
      <c r="U407" s="470"/>
      <c r="V407" s="471"/>
    </row>
    <row r="408" spans="1:22" ht="12" thickBot="1" x14ac:dyDescent="0.25">
      <c r="A408" s="472" t="s">
        <v>205</v>
      </c>
      <c r="B408" s="473">
        <f t="shared" ref="B408:G408" si="155">SUM(B397:B407)</f>
        <v>3.75</v>
      </c>
      <c r="C408" s="474">
        <f t="shared" si="155"/>
        <v>363445.27990990551</v>
      </c>
      <c r="D408" s="473">
        <f t="shared" si="155"/>
        <v>4</v>
      </c>
      <c r="E408" s="474">
        <f t="shared" si="155"/>
        <v>401727.03480625618</v>
      </c>
      <c r="F408" s="473">
        <f t="shared" si="155"/>
        <v>3.833333333333333</v>
      </c>
      <c r="G408" s="474">
        <f t="shared" si="155"/>
        <v>392286.91522699321</v>
      </c>
      <c r="H408" s="473">
        <v>4</v>
      </c>
      <c r="I408" s="474">
        <v>433732.99</v>
      </c>
      <c r="J408" s="473">
        <v>4</v>
      </c>
      <c r="K408" s="474">
        <v>445254.52</v>
      </c>
      <c r="L408" s="435"/>
      <c r="M408" s="473">
        <f>IFERROR(H408-S408,"")</f>
        <v>0</v>
      </c>
      <c r="N408" s="474">
        <f>IFERROR(I408-T408,"")</f>
        <v>0</v>
      </c>
      <c r="O408" s="473">
        <f>IFERROR(J408-U408,"")</f>
        <v>0</v>
      </c>
      <c r="P408" s="474">
        <f>IFERROR(K408-V408,"")</f>
        <v>0</v>
      </c>
      <c r="R408" s="472" t="s">
        <v>205</v>
      </c>
      <c r="S408" s="473">
        <v>4</v>
      </c>
      <c r="T408" s="474">
        <v>433732.99</v>
      </c>
      <c r="U408" s="473">
        <v>4</v>
      </c>
      <c r="V408" s="474">
        <v>445254.52</v>
      </c>
    </row>
    <row r="409" spans="1:22" ht="12" thickTop="1" x14ac:dyDescent="0.2">
      <c r="A409" s="475"/>
      <c r="B409" s="477"/>
      <c r="C409" s="476"/>
      <c r="D409" s="477"/>
      <c r="E409" s="476"/>
      <c r="F409" s="477"/>
      <c r="G409" s="476"/>
      <c r="H409" s="477"/>
      <c r="I409" s="476"/>
      <c r="J409" s="477"/>
      <c r="K409" s="476"/>
      <c r="L409" s="435"/>
      <c r="M409" s="477"/>
      <c r="N409" s="476"/>
      <c r="O409" s="477"/>
      <c r="P409" s="476"/>
      <c r="R409" s="475"/>
      <c r="S409" s="477"/>
      <c r="T409" s="476"/>
      <c r="U409" s="477"/>
      <c r="V409" s="476"/>
    </row>
    <row r="410" spans="1:22" x14ac:dyDescent="0.2">
      <c r="A410" s="476"/>
      <c r="B410" s="477"/>
      <c r="C410" s="476"/>
      <c r="D410" s="477"/>
      <c r="E410" s="476"/>
      <c r="F410" s="477"/>
      <c r="G410" s="476"/>
      <c r="H410" s="477"/>
      <c r="I410" s="476"/>
      <c r="J410" s="477"/>
      <c r="K410" s="476"/>
      <c r="L410" s="435"/>
      <c r="M410" s="477"/>
      <c r="N410" s="476"/>
      <c r="O410" s="477"/>
      <c r="P410" s="476"/>
      <c r="R410" s="476"/>
      <c r="S410" s="477"/>
      <c r="T410" s="476"/>
      <c r="U410" s="477"/>
      <c r="V410" s="476"/>
    </row>
    <row r="411" spans="1:22" x14ac:dyDescent="0.2">
      <c r="A411" s="480" t="s">
        <v>311</v>
      </c>
      <c r="B411" s="482"/>
      <c r="C411" s="481"/>
      <c r="D411" s="482"/>
      <c r="E411" s="481"/>
      <c r="F411" s="482"/>
      <c r="G411" s="481"/>
      <c r="H411" s="482"/>
      <c r="I411" s="481"/>
      <c r="J411" s="482"/>
      <c r="K411" s="481"/>
      <c r="L411" s="435"/>
      <c r="M411" s="482"/>
      <c r="N411" s="481"/>
      <c r="O411" s="482"/>
      <c r="P411" s="481"/>
      <c r="R411" s="480" t="s">
        <v>311</v>
      </c>
      <c r="S411" s="482"/>
      <c r="T411" s="481"/>
      <c r="U411" s="482"/>
      <c r="V411" s="481"/>
    </row>
    <row r="412" spans="1:22" x14ac:dyDescent="0.2">
      <c r="A412" s="455" t="s">
        <v>301</v>
      </c>
      <c r="B412" s="456">
        <v>1</v>
      </c>
      <c r="C412" s="457">
        <v>79032.705401193729</v>
      </c>
      <c r="D412" s="456">
        <v>1</v>
      </c>
      <c r="E412" s="457">
        <v>76719.076951711817</v>
      </c>
      <c r="F412" s="456">
        <v>1</v>
      </c>
      <c r="G412" s="457">
        <v>85611.189372055305</v>
      </c>
      <c r="H412" s="456">
        <v>1</v>
      </c>
      <c r="I412" s="457">
        <v>77853.509999999995</v>
      </c>
      <c r="J412" s="456">
        <v>1</v>
      </c>
      <c r="K412" s="457">
        <v>79836.61</v>
      </c>
      <c r="L412" s="435"/>
      <c r="M412" s="456">
        <f t="shared" ref="M412:M421" si="156">IFERROR(H412-S412,"")</f>
        <v>0</v>
      </c>
      <c r="N412" s="457">
        <f t="shared" ref="N412:N421" si="157">IFERROR(I412-T412,"")</f>
        <v>0</v>
      </c>
      <c r="O412" s="456">
        <f t="shared" ref="O412:O421" si="158">IFERROR(J412-U412,"")</f>
        <v>0</v>
      </c>
      <c r="P412" s="457">
        <f t="shared" ref="P412:P421" si="159">IFERROR(K412-V412,"")</f>
        <v>0</v>
      </c>
      <c r="R412" s="455" t="s">
        <v>301</v>
      </c>
      <c r="S412" s="456">
        <v>1</v>
      </c>
      <c r="T412" s="457">
        <v>77853.509999999995</v>
      </c>
      <c r="U412" s="456">
        <v>1</v>
      </c>
      <c r="V412" s="457">
        <v>79836.61</v>
      </c>
    </row>
    <row r="413" spans="1:22" x14ac:dyDescent="0.2">
      <c r="A413" s="465" t="s">
        <v>302</v>
      </c>
      <c r="B413" s="461">
        <v>0</v>
      </c>
      <c r="C413" s="462">
        <v>0</v>
      </c>
      <c r="D413" s="461">
        <v>0</v>
      </c>
      <c r="E413" s="462">
        <v>0</v>
      </c>
      <c r="F413" s="461">
        <v>0</v>
      </c>
      <c r="G413" s="462">
        <v>0</v>
      </c>
      <c r="H413" s="461">
        <v>0</v>
      </c>
      <c r="I413" s="462">
        <v>0</v>
      </c>
      <c r="J413" s="461">
        <v>0</v>
      </c>
      <c r="K413" s="462">
        <v>0</v>
      </c>
      <c r="L413" s="435"/>
      <c r="M413" s="461">
        <f t="shared" si="156"/>
        <v>0</v>
      </c>
      <c r="N413" s="462">
        <f t="shared" si="157"/>
        <v>0</v>
      </c>
      <c r="O413" s="461">
        <f t="shared" si="158"/>
        <v>0</v>
      </c>
      <c r="P413" s="462">
        <f t="shared" si="159"/>
        <v>0</v>
      </c>
      <c r="R413" s="465" t="s">
        <v>302</v>
      </c>
      <c r="S413" s="461">
        <v>0</v>
      </c>
      <c r="T413" s="462">
        <v>0</v>
      </c>
      <c r="U413" s="461">
        <v>0</v>
      </c>
      <c r="V413" s="462">
        <v>0</v>
      </c>
    </row>
    <row r="414" spans="1:22" x14ac:dyDescent="0.2">
      <c r="A414" s="460" t="s">
        <v>303</v>
      </c>
      <c r="B414" s="461">
        <v>0</v>
      </c>
      <c r="C414" s="462">
        <v>0</v>
      </c>
      <c r="D414" s="461">
        <v>0</v>
      </c>
      <c r="E414" s="462">
        <v>0</v>
      </c>
      <c r="F414" s="461">
        <v>0</v>
      </c>
      <c r="G414" s="462">
        <v>0</v>
      </c>
      <c r="H414" s="461">
        <v>0</v>
      </c>
      <c r="I414" s="462">
        <v>0</v>
      </c>
      <c r="J414" s="461">
        <v>0</v>
      </c>
      <c r="K414" s="462">
        <v>0</v>
      </c>
      <c r="L414" s="435"/>
      <c r="M414" s="461">
        <f t="shared" si="156"/>
        <v>0</v>
      </c>
      <c r="N414" s="462">
        <f t="shared" si="157"/>
        <v>0</v>
      </c>
      <c r="O414" s="461">
        <f t="shared" si="158"/>
        <v>0</v>
      </c>
      <c r="P414" s="462">
        <f t="shared" si="159"/>
        <v>0</v>
      </c>
      <c r="R414" s="460" t="s">
        <v>303</v>
      </c>
      <c r="S414" s="461">
        <v>0</v>
      </c>
      <c r="T414" s="462">
        <v>0</v>
      </c>
      <c r="U414" s="461">
        <v>0</v>
      </c>
      <c r="V414" s="462">
        <v>0</v>
      </c>
    </row>
    <row r="415" spans="1:22" x14ac:dyDescent="0.2">
      <c r="A415" s="465" t="s">
        <v>304</v>
      </c>
      <c r="B415" s="461">
        <v>0</v>
      </c>
      <c r="C415" s="462">
        <v>0</v>
      </c>
      <c r="D415" s="461">
        <v>0</v>
      </c>
      <c r="E415" s="462">
        <v>0</v>
      </c>
      <c r="F415" s="461">
        <v>0</v>
      </c>
      <c r="G415" s="462">
        <v>0</v>
      </c>
      <c r="H415" s="461">
        <v>0</v>
      </c>
      <c r="I415" s="462">
        <v>0</v>
      </c>
      <c r="J415" s="461">
        <v>0</v>
      </c>
      <c r="K415" s="462">
        <v>0</v>
      </c>
      <c r="L415" s="435"/>
      <c r="M415" s="461">
        <f t="shared" si="156"/>
        <v>0</v>
      </c>
      <c r="N415" s="462">
        <f t="shared" si="157"/>
        <v>0</v>
      </c>
      <c r="O415" s="461">
        <f t="shared" si="158"/>
        <v>0</v>
      </c>
      <c r="P415" s="462">
        <f t="shared" si="159"/>
        <v>0</v>
      </c>
      <c r="R415" s="465" t="s">
        <v>304</v>
      </c>
      <c r="S415" s="461">
        <v>0</v>
      </c>
      <c r="T415" s="462">
        <v>0</v>
      </c>
      <c r="U415" s="461">
        <v>0</v>
      </c>
      <c r="V415" s="462">
        <v>0</v>
      </c>
    </row>
    <row r="416" spans="1:22" x14ac:dyDescent="0.2">
      <c r="A416" s="465" t="s">
        <v>305</v>
      </c>
      <c r="B416" s="461">
        <v>1.6225000000000001</v>
      </c>
      <c r="C416" s="462">
        <v>109751.19666345982</v>
      </c>
      <c r="D416" s="461">
        <v>1.7716666666666669</v>
      </c>
      <c r="E416" s="462">
        <v>125424.05284054477</v>
      </c>
      <c r="F416" s="461">
        <v>1.5833333333333335</v>
      </c>
      <c r="G416" s="462">
        <v>116853.5569353755</v>
      </c>
      <c r="H416" s="461">
        <v>1.8900000000000001</v>
      </c>
      <c r="I416" s="462">
        <v>114612.76000000002</v>
      </c>
      <c r="J416" s="461">
        <v>1.8900000000000001</v>
      </c>
      <c r="K416" s="462">
        <v>117384.42000000001</v>
      </c>
      <c r="L416" s="435"/>
      <c r="M416" s="461">
        <f t="shared" si="156"/>
        <v>0</v>
      </c>
      <c r="N416" s="462">
        <f t="shared" si="157"/>
        <v>0</v>
      </c>
      <c r="O416" s="461">
        <f t="shared" si="158"/>
        <v>0</v>
      </c>
      <c r="P416" s="462">
        <f t="shared" si="159"/>
        <v>0</v>
      </c>
      <c r="R416" s="465" t="s">
        <v>305</v>
      </c>
      <c r="S416" s="461">
        <v>1.8900000000000001</v>
      </c>
      <c r="T416" s="462">
        <v>114612.76000000002</v>
      </c>
      <c r="U416" s="461">
        <v>1.8900000000000001</v>
      </c>
      <c r="V416" s="462">
        <v>117384.42000000001</v>
      </c>
    </row>
    <row r="417" spans="1:22" x14ac:dyDescent="0.2">
      <c r="A417" s="465" t="s">
        <v>306</v>
      </c>
      <c r="B417" s="461">
        <v>0</v>
      </c>
      <c r="C417" s="462">
        <v>0</v>
      </c>
      <c r="D417" s="461">
        <v>0</v>
      </c>
      <c r="E417" s="462">
        <v>0</v>
      </c>
      <c r="F417" s="461">
        <v>0</v>
      </c>
      <c r="G417" s="462">
        <v>0</v>
      </c>
      <c r="H417" s="461">
        <v>0</v>
      </c>
      <c r="I417" s="462">
        <v>0</v>
      </c>
      <c r="J417" s="461">
        <v>0</v>
      </c>
      <c r="K417" s="462">
        <v>0</v>
      </c>
      <c r="L417" s="435"/>
      <c r="M417" s="461">
        <f t="shared" si="156"/>
        <v>0</v>
      </c>
      <c r="N417" s="462">
        <f t="shared" si="157"/>
        <v>0</v>
      </c>
      <c r="O417" s="461">
        <f t="shared" si="158"/>
        <v>0</v>
      </c>
      <c r="P417" s="462">
        <f t="shared" si="159"/>
        <v>0</v>
      </c>
      <c r="R417" s="465" t="s">
        <v>306</v>
      </c>
      <c r="S417" s="461">
        <v>0</v>
      </c>
      <c r="T417" s="462">
        <v>0</v>
      </c>
      <c r="U417" s="461">
        <v>0</v>
      </c>
      <c r="V417" s="462">
        <v>0</v>
      </c>
    </row>
    <row r="418" spans="1:22" x14ac:dyDescent="0.2">
      <c r="A418" s="465" t="s">
        <v>307</v>
      </c>
      <c r="B418" s="461">
        <v>0</v>
      </c>
      <c r="C418" s="462">
        <v>0</v>
      </c>
      <c r="D418" s="461">
        <v>0</v>
      </c>
      <c r="E418" s="462">
        <v>0</v>
      </c>
      <c r="F418" s="461">
        <v>0</v>
      </c>
      <c r="G418" s="462">
        <v>0</v>
      </c>
      <c r="H418" s="461">
        <v>0</v>
      </c>
      <c r="I418" s="462">
        <v>0</v>
      </c>
      <c r="J418" s="461">
        <v>0</v>
      </c>
      <c r="K418" s="462">
        <v>0</v>
      </c>
      <c r="L418" s="435"/>
      <c r="M418" s="461">
        <f t="shared" si="156"/>
        <v>0</v>
      </c>
      <c r="N418" s="462">
        <f t="shared" si="157"/>
        <v>0</v>
      </c>
      <c r="O418" s="461">
        <f t="shared" si="158"/>
        <v>0</v>
      </c>
      <c r="P418" s="462">
        <f t="shared" si="159"/>
        <v>0</v>
      </c>
      <c r="R418" s="465" t="s">
        <v>307</v>
      </c>
      <c r="S418" s="461">
        <v>0</v>
      </c>
      <c r="T418" s="462">
        <v>0</v>
      </c>
      <c r="U418" s="461">
        <v>0</v>
      </c>
      <c r="V418" s="462">
        <v>0</v>
      </c>
    </row>
    <row r="419" spans="1:22" x14ac:dyDescent="0.2">
      <c r="A419" s="465" t="s">
        <v>308</v>
      </c>
      <c r="B419" s="461">
        <v>0</v>
      </c>
      <c r="C419" s="462">
        <v>0</v>
      </c>
      <c r="D419" s="461">
        <v>0</v>
      </c>
      <c r="E419" s="462">
        <v>0</v>
      </c>
      <c r="F419" s="461">
        <v>0</v>
      </c>
      <c r="G419" s="462">
        <v>0</v>
      </c>
      <c r="H419" s="461">
        <v>0</v>
      </c>
      <c r="I419" s="462">
        <v>0</v>
      </c>
      <c r="J419" s="461">
        <v>0</v>
      </c>
      <c r="K419" s="462">
        <v>0</v>
      </c>
      <c r="L419" s="435"/>
      <c r="M419" s="461">
        <f t="shared" si="156"/>
        <v>0</v>
      </c>
      <c r="N419" s="462">
        <f t="shared" si="157"/>
        <v>0</v>
      </c>
      <c r="O419" s="461">
        <f t="shared" si="158"/>
        <v>0</v>
      </c>
      <c r="P419" s="462">
        <f t="shared" si="159"/>
        <v>0</v>
      </c>
      <c r="R419" s="465" t="s">
        <v>308</v>
      </c>
      <c r="S419" s="461">
        <v>0</v>
      </c>
      <c r="T419" s="462">
        <v>0</v>
      </c>
      <c r="U419" s="461">
        <v>0</v>
      </c>
      <c r="V419" s="462">
        <v>0</v>
      </c>
    </row>
    <row r="420" spans="1:22" x14ac:dyDescent="0.2">
      <c r="A420" s="465" t="s">
        <v>309</v>
      </c>
      <c r="B420" s="461">
        <v>0</v>
      </c>
      <c r="C420" s="462">
        <v>0</v>
      </c>
      <c r="D420" s="461">
        <v>0</v>
      </c>
      <c r="E420" s="462">
        <v>0</v>
      </c>
      <c r="F420" s="461">
        <v>0</v>
      </c>
      <c r="G420" s="462">
        <v>0</v>
      </c>
      <c r="H420" s="461">
        <v>0</v>
      </c>
      <c r="I420" s="462">
        <v>0</v>
      </c>
      <c r="J420" s="461">
        <v>0</v>
      </c>
      <c r="K420" s="462">
        <v>0</v>
      </c>
      <c r="L420" s="435"/>
      <c r="M420" s="461">
        <f t="shared" si="156"/>
        <v>0</v>
      </c>
      <c r="N420" s="462">
        <f t="shared" si="157"/>
        <v>0</v>
      </c>
      <c r="O420" s="461">
        <f t="shared" si="158"/>
        <v>0</v>
      </c>
      <c r="P420" s="462">
        <f t="shared" si="159"/>
        <v>0</v>
      </c>
      <c r="R420" s="465" t="s">
        <v>309</v>
      </c>
      <c r="S420" s="461">
        <v>0</v>
      </c>
      <c r="T420" s="462">
        <v>0</v>
      </c>
      <c r="U420" s="461">
        <v>0</v>
      </c>
      <c r="V420" s="462">
        <v>0</v>
      </c>
    </row>
    <row r="421" spans="1:22" x14ac:dyDescent="0.2">
      <c r="A421" s="466" t="s">
        <v>310</v>
      </c>
      <c r="B421" s="461">
        <v>0.81916666666666649</v>
      </c>
      <c r="C421" s="462">
        <v>71256.479726177757</v>
      </c>
      <c r="D421" s="461">
        <v>0.8716666666666667</v>
      </c>
      <c r="E421" s="462">
        <v>79800.924029690752</v>
      </c>
      <c r="F421" s="461">
        <v>0.85083333333333322</v>
      </c>
      <c r="G421" s="462">
        <v>79379.124707492316</v>
      </c>
      <c r="H421" s="461">
        <v>0.7</v>
      </c>
      <c r="I421" s="492">
        <v>95778.569999999978</v>
      </c>
      <c r="J421" s="461">
        <v>0.7</v>
      </c>
      <c r="K421" s="492">
        <v>98643.839999999997</v>
      </c>
      <c r="L421" s="435"/>
      <c r="M421" s="461">
        <f t="shared" si="156"/>
        <v>0</v>
      </c>
      <c r="N421" s="492">
        <f t="shared" si="157"/>
        <v>0</v>
      </c>
      <c r="O421" s="461">
        <f t="shared" si="158"/>
        <v>0</v>
      </c>
      <c r="P421" s="492">
        <f t="shared" si="159"/>
        <v>0</v>
      </c>
      <c r="R421" s="466" t="s">
        <v>310</v>
      </c>
      <c r="S421" s="461">
        <v>0.7</v>
      </c>
      <c r="T421" s="492">
        <v>95778.569999999978</v>
      </c>
      <c r="U421" s="461">
        <v>0.7</v>
      </c>
      <c r="V421" s="492">
        <v>98643.839999999997</v>
      </c>
    </row>
    <row r="422" spans="1:22" ht="3" customHeight="1" x14ac:dyDescent="0.2">
      <c r="A422" s="469"/>
      <c r="B422" s="470"/>
      <c r="C422" s="471"/>
      <c r="D422" s="470"/>
      <c r="E422" s="471"/>
      <c r="F422" s="470"/>
      <c r="G422" s="471"/>
      <c r="H422" s="470"/>
      <c r="I422" s="471"/>
      <c r="J422" s="470"/>
      <c r="K422" s="471"/>
      <c r="L422" s="435"/>
      <c r="M422" s="470"/>
      <c r="N422" s="471"/>
      <c r="O422" s="470"/>
      <c r="P422" s="471"/>
      <c r="R422" s="469"/>
      <c r="S422" s="470"/>
      <c r="T422" s="471"/>
      <c r="U422" s="470"/>
      <c r="V422" s="471"/>
    </row>
    <row r="423" spans="1:22" ht="12" thickBot="1" x14ac:dyDescent="0.25">
      <c r="A423" s="472" t="s">
        <v>205</v>
      </c>
      <c r="B423" s="473">
        <f t="shared" ref="B423:G423" si="160">SUM(B412:B422)</f>
        <v>3.4416666666666664</v>
      </c>
      <c r="C423" s="474">
        <f t="shared" si="160"/>
        <v>260040.38179083131</v>
      </c>
      <c r="D423" s="473">
        <f t="shared" si="160"/>
        <v>3.6433333333333335</v>
      </c>
      <c r="E423" s="474">
        <f t="shared" si="160"/>
        <v>281944.05382194731</v>
      </c>
      <c r="F423" s="473">
        <f t="shared" si="160"/>
        <v>3.4341666666666666</v>
      </c>
      <c r="G423" s="474">
        <f t="shared" si="160"/>
        <v>281843.87101492309</v>
      </c>
      <c r="H423" s="473">
        <v>3.59</v>
      </c>
      <c r="I423" s="474">
        <v>288244.83999999997</v>
      </c>
      <c r="J423" s="473">
        <v>3.59</v>
      </c>
      <c r="K423" s="474">
        <v>295864.87</v>
      </c>
      <c r="L423" s="435"/>
      <c r="M423" s="473">
        <f>IFERROR(H423-S423,"")</f>
        <v>0</v>
      </c>
      <c r="N423" s="474">
        <f>IFERROR(I423-T423,"")</f>
        <v>0</v>
      </c>
      <c r="O423" s="473">
        <f>IFERROR(J423-U423,"")</f>
        <v>0</v>
      </c>
      <c r="P423" s="474">
        <f>IFERROR(K423-V423,"")</f>
        <v>0</v>
      </c>
      <c r="R423" s="472" t="s">
        <v>205</v>
      </c>
      <c r="S423" s="473">
        <v>3.59</v>
      </c>
      <c r="T423" s="474">
        <v>288244.83999999997</v>
      </c>
      <c r="U423" s="473">
        <v>3.59</v>
      </c>
      <c r="V423" s="474">
        <v>295864.87</v>
      </c>
    </row>
    <row r="424" spans="1:22" ht="12" thickTop="1" x14ac:dyDescent="0.2">
      <c r="A424" s="475"/>
      <c r="B424" s="477"/>
      <c r="C424" s="476"/>
      <c r="D424" s="477"/>
      <c r="E424" s="476"/>
      <c r="F424" s="477"/>
      <c r="G424" s="476"/>
      <c r="H424" s="477"/>
      <c r="I424" s="476"/>
      <c r="J424" s="477"/>
      <c r="K424" s="476"/>
      <c r="L424" s="435"/>
      <c r="M424" s="477"/>
      <c r="N424" s="476"/>
      <c r="O424" s="477"/>
      <c r="P424" s="476"/>
      <c r="R424" s="475"/>
      <c r="S424" s="477"/>
      <c r="T424" s="476"/>
      <c r="U424" s="477"/>
      <c r="V424" s="476"/>
    </row>
    <row r="425" spans="1:22" ht="12.75" x14ac:dyDescent="0.2">
      <c r="A425" s="476"/>
      <c r="B425" s="493"/>
      <c r="C425" s="483"/>
      <c r="D425" s="493"/>
      <c r="E425" s="483"/>
      <c r="F425" s="493"/>
      <c r="G425" s="483"/>
      <c r="H425" s="493"/>
      <c r="I425" s="494"/>
      <c r="J425" s="493"/>
      <c r="K425" s="494"/>
      <c r="L425" s="435"/>
      <c r="M425" s="493"/>
      <c r="N425" s="494"/>
      <c r="O425" s="493"/>
      <c r="P425" s="494"/>
      <c r="R425" s="476"/>
      <c r="S425" s="493"/>
      <c r="T425" s="494"/>
      <c r="U425" s="493"/>
      <c r="V425" s="494"/>
    </row>
    <row r="426" spans="1:22" x14ac:dyDescent="0.2">
      <c r="A426" s="485" t="s">
        <v>312</v>
      </c>
      <c r="B426" s="487"/>
      <c r="C426" s="486"/>
      <c r="D426" s="487"/>
      <c r="E426" s="486"/>
      <c r="F426" s="487"/>
      <c r="G426" s="486"/>
      <c r="H426" s="487"/>
      <c r="I426" s="486"/>
      <c r="J426" s="487"/>
      <c r="K426" s="486"/>
      <c r="L426" s="435"/>
      <c r="M426" s="487"/>
      <c r="N426" s="486"/>
      <c r="O426" s="487"/>
      <c r="P426" s="486"/>
      <c r="R426" s="485" t="s">
        <v>312</v>
      </c>
      <c r="S426" s="487"/>
      <c r="T426" s="486"/>
      <c r="U426" s="487"/>
      <c r="V426" s="486"/>
    </row>
    <row r="427" spans="1:22" x14ac:dyDescent="0.2">
      <c r="A427" s="455" t="s">
        <v>301</v>
      </c>
      <c r="B427" s="456">
        <v>0</v>
      </c>
      <c r="C427" s="457">
        <v>7388.8724074740121</v>
      </c>
      <c r="D427" s="456">
        <v>0</v>
      </c>
      <c r="E427" s="457">
        <v>10679.673738914747</v>
      </c>
      <c r="F427" s="456">
        <v>0</v>
      </c>
      <c r="G427" s="457">
        <v>10804.410921908977</v>
      </c>
      <c r="H427" s="456">
        <v>0</v>
      </c>
      <c r="I427" s="457">
        <v>17025.680000000004</v>
      </c>
      <c r="J427" s="456">
        <v>0</v>
      </c>
      <c r="K427" s="457">
        <v>17536.509999999995</v>
      </c>
      <c r="L427" s="435"/>
      <c r="M427" s="456">
        <f t="shared" ref="M427:M436" si="161">IFERROR(H427-S427,"")</f>
        <v>0</v>
      </c>
      <c r="N427" s="457">
        <f t="shared" ref="N427:N436" si="162">IFERROR(I427-T427,"")</f>
        <v>0</v>
      </c>
      <c r="O427" s="456">
        <f t="shared" ref="O427:O436" si="163">IFERROR(J427-U427,"")</f>
        <v>0</v>
      </c>
      <c r="P427" s="457">
        <f t="shared" ref="P427:P436" si="164">IFERROR(K427-V427,"")</f>
        <v>0</v>
      </c>
      <c r="R427" s="455" t="s">
        <v>301</v>
      </c>
      <c r="S427" s="456">
        <v>0</v>
      </c>
      <c r="T427" s="457">
        <v>17025.680000000004</v>
      </c>
      <c r="U427" s="456">
        <v>0</v>
      </c>
      <c r="V427" s="457">
        <v>17536.509999999995</v>
      </c>
    </row>
    <row r="428" spans="1:22" x14ac:dyDescent="0.2">
      <c r="A428" s="465" t="s">
        <v>302</v>
      </c>
      <c r="B428" s="461">
        <v>0</v>
      </c>
      <c r="C428" s="462">
        <v>0</v>
      </c>
      <c r="D428" s="461">
        <v>0</v>
      </c>
      <c r="E428" s="462">
        <v>0</v>
      </c>
      <c r="F428" s="461">
        <v>0</v>
      </c>
      <c r="G428" s="462">
        <v>0</v>
      </c>
      <c r="H428" s="461">
        <v>0</v>
      </c>
      <c r="I428" s="462">
        <v>0</v>
      </c>
      <c r="J428" s="461">
        <v>0</v>
      </c>
      <c r="K428" s="462">
        <v>0</v>
      </c>
      <c r="L428" s="435"/>
      <c r="M428" s="461">
        <f t="shared" si="161"/>
        <v>0</v>
      </c>
      <c r="N428" s="462">
        <f t="shared" si="162"/>
        <v>0</v>
      </c>
      <c r="O428" s="461">
        <f t="shared" si="163"/>
        <v>0</v>
      </c>
      <c r="P428" s="462">
        <f t="shared" si="164"/>
        <v>0</v>
      </c>
      <c r="R428" s="465" t="s">
        <v>302</v>
      </c>
      <c r="S428" s="461">
        <v>0</v>
      </c>
      <c r="T428" s="462">
        <v>0</v>
      </c>
      <c r="U428" s="461">
        <v>0</v>
      </c>
      <c r="V428" s="462">
        <v>0</v>
      </c>
    </row>
    <row r="429" spans="1:22" x14ac:dyDescent="0.2">
      <c r="A429" s="460" t="s">
        <v>303</v>
      </c>
      <c r="B429" s="461">
        <v>0</v>
      </c>
      <c r="C429" s="462">
        <v>0</v>
      </c>
      <c r="D429" s="461">
        <v>0</v>
      </c>
      <c r="E429" s="462">
        <v>0</v>
      </c>
      <c r="F429" s="461">
        <v>0</v>
      </c>
      <c r="G429" s="462">
        <v>0</v>
      </c>
      <c r="H429" s="461">
        <v>0</v>
      </c>
      <c r="I429" s="462">
        <v>0</v>
      </c>
      <c r="J429" s="461">
        <v>0</v>
      </c>
      <c r="K429" s="462">
        <v>0</v>
      </c>
      <c r="L429" s="435"/>
      <c r="M429" s="461">
        <f t="shared" si="161"/>
        <v>0</v>
      </c>
      <c r="N429" s="462">
        <f t="shared" si="162"/>
        <v>0</v>
      </c>
      <c r="O429" s="461">
        <f t="shared" si="163"/>
        <v>0</v>
      </c>
      <c r="P429" s="462">
        <f t="shared" si="164"/>
        <v>0</v>
      </c>
      <c r="R429" s="460" t="s">
        <v>303</v>
      </c>
      <c r="S429" s="461">
        <v>0</v>
      </c>
      <c r="T429" s="462">
        <v>0</v>
      </c>
      <c r="U429" s="461">
        <v>0</v>
      </c>
      <c r="V429" s="462">
        <v>0</v>
      </c>
    </row>
    <row r="430" spans="1:22" x14ac:dyDescent="0.2">
      <c r="A430" s="465" t="s">
        <v>304</v>
      </c>
      <c r="B430" s="461">
        <v>0</v>
      </c>
      <c r="C430" s="462">
        <v>0</v>
      </c>
      <c r="D430" s="461">
        <v>0</v>
      </c>
      <c r="E430" s="462">
        <v>0</v>
      </c>
      <c r="F430" s="461">
        <v>0</v>
      </c>
      <c r="G430" s="462">
        <v>0</v>
      </c>
      <c r="H430" s="461">
        <v>0</v>
      </c>
      <c r="I430" s="462">
        <v>0</v>
      </c>
      <c r="J430" s="461">
        <v>0</v>
      </c>
      <c r="K430" s="462">
        <v>0</v>
      </c>
      <c r="L430" s="435"/>
      <c r="M430" s="461">
        <f t="shared" si="161"/>
        <v>0</v>
      </c>
      <c r="N430" s="462">
        <f t="shared" si="162"/>
        <v>0</v>
      </c>
      <c r="O430" s="461">
        <f t="shared" si="163"/>
        <v>0</v>
      </c>
      <c r="P430" s="462">
        <f t="shared" si="164"/>
        <v>0</v>
      </c>
      <c r="R430" s="465" t="s">
        <v>304</v>
      </c>
      <c r="S430" s="461">
        <v>0</v>
      </c>
      <c r="T430" s="462">
        <v>0</v>
      </c>
      <c r="U430" s="461">
        <v>0</v>
      </c>
      <c r="V430" s="462">
        <v>0</v>
      </c>
    </row>
    <row r="431" spans="1:22" x14ac:dyDescent="0.2">
      <c r="A431" s="465" t="s">
        <v>305</v>
      </c>
      <c r="B431" s="461">
        <v>0</v>
      </c>
      <c r="C431" s="462">
        <v>4762.8968310621231</v>
      </c>
      <c r="D431" s="461">
        <v>0</v>
      </c>
      <c r="E431" s="462">
        <v>9059.1655435127086</v>
      </c>
      <c r="F431" s="461">
        <v>0</v>
      </c>
      <c r="G431" s="462">
        <v>8450.0058030759228</v>
      </c>
      <c r="H431" s="461">
        <v>0</v>
      </c>
      <c r="I431" s="462">
        <v>23642.719999999998</v>
      </c>
      <c r="J431" s="461">
        <v>0</v>
      </c>
      <c r="K431" s="462">
        <v>23890.69</v>
      </c>
      <c r="L431" s="435"/>
      <c r="M431" s="461">
        <f t="shared" si="161"/>
        <v>0</v>
      </c>
      <c r="N431" s="462">
        <f t="shared" si="162"/>
        <v>0</v>
      </c>
      <c r="O431" s="461">
        <f t="shared" si="163"/>
        <v>0</v>
      </c>
      <c r="P431" s="462">
        <f t="shared" si="164"/>
        <v>0</v>
      </c>
      <c r="R431" s="465" t="s">
        <v>305</v>
      </c>
      <c r="S431" s="461">
        <v>0</v>
      </c>
      <c r="T431" s="462">
        <v>23642.719999999998</v>
      </c>
      <c r="U431" s="461">
        <v>0</v>
      </c>
      <c r="V431" s="462">
        <v>23890.69</v>
      </c>
    </row>
    <row r="432" spans="1:22" x14ac:dyDescent="0.2">
      <c r="A432" s="465" t="s">
        <v>306</v>
      </c>
      <c r="B432" s="461">
        <v>0</v>
      </c>
      <c r="C432" s="462">
        <v>0</v>
      </c>
      <c r="D432" s="461">
        <v>0</v>
      </c>
      <c r="E432" s="462">
        <v>0</v>
      </c>
      <c r="F432" s="461">
        <v>0</v>
      </c>
      <c r="G432" s="462">
        <v>0</v>
      </c>
      <c r="H432" s="461">
        <v>0</v>
      </c>
      <c r="I432" s="462">
        <v>0</v>
      </c>
      <c r="J432" s="461">
        <v>0</v>
      </c>
      <c r="K432" s="462">
        <v>0</v>
      </c>
      <c r="L432" s="435"/>
      <c r="M432" s="461">
        <f t="shared" si="161"/>
        <v>0</v>
      </c>
      <c r="N432" s="462">
        <f t="shared" si="162"/>
        <v>0</v>
      </c>
      <c r="O432" s="461">
        <f t="shared" si="163"/>
        <v>0</v>
      </c>
      <c r="P432" s="462">
        <f t="shared" si="164"/>
        <v>0</v>
      </c>
      <c r="R432" s="465" t="s">
        <v>306</v>
      </c>
      <c r="S432" s="461">
        <v>0</v>
      </c>
      <c r="T432" s="462">
        <v>0</v>
      </c>
      <c r="U432" s="461">
        <v>0</v>
      </c>
      <c r="V432" s="462">
        <v>0</v>
      </c>
    </row>
    <row r="433" spans="1:22" x14ac:dyDescent="0.2">
      <c r="A433" s="465" t="s">
        <v>307</v>
      </c>
      <c r="B433" s="461">
        <v>0</v>
      </c>
      <c r="C433" s="462">
        <v>0</v>
      </c>
      <c r="D433" s="461">
        <v>0</v>
      </c>
      <c r="E433" s="462">
        <v>0</v>
      </c>
      <c r="F433" s="461">
        <v>0</v>
      </c>
      <c r="G433" s="462">
        <v>0</v>
      </c>
      <c r="H433" s="461">
        <v>0</v>
      </c>
      <c r="I433" s="462">
        <v>0</v>
      </c>
      <c r="J433" s="461">
        <v>0</v>
      </c>
      <c r="K433" s="462">
        <v>0</v>
      </c>
      <c r="L433" s="435"/>
      <c r="M433" s="461">
        <f t="shared" si="161"/>
        <v>0</v>
      </c>
      <c r="N433" s="462">
        <f t="shared" si="162"/>
        <v>0</v>
      </c>
      <c r="O433" s="461">
        <f t="shared" si="163"/>
        <v>0</v>
      </c>
      <c r="P433" s="462">
        <f t="shared" si="164"/>
        <v>0</v>
      </c>
      <c r="R433" s="465" t="s">
        <v>307</v>
      </c>
      <c r="S433" s="461">
        <v>0</v>
      </c>
      <c r="T433" s="462">
        <v>0</v>
      </c>
      <c r="U433" s="461">
        <v>0</v>
      </c>
      <c r="V433" s="462">
        <v>0</v>
      </c>
    </row>
    <row r="434" spans="1:22" x14ac:dyDescent="0.2">
      <c r="A434" s="465" t="s">
        <v>308</v>
      </c>
      <c r="B434" s="461">
        <v>0</v>
      </c>
      <c r="C434" s="462">
        <v>0</v>
      </c>
      <c r="D434" s="461">
        <v>0</v>
      </c>
      <c r="E434" s="462">
        <v>0</v>
      </c>
      <c r="F434" s="461">
        <v>0</v>
      </c>
      <c r="G434" s="462">
        <v>0</v>
      </c>
      <c r="H434" s="461">
        <v>0</v>
      </c>
      <c r="I434" s="462">
        <v>0</v>
      </c>
      <c r="J434" s="461">
        <v>0</v>
      </c>
      <c r="K434" s="462">
        <v>0</v>
      </c>
      <c r="L434" s="435"/>
      <c r="M434" s="461">
        <f t="shared" si="161"/>
        <v>0</v>
      </c>
      <c r="N434" s="462">
        <f t="shared" si="162"/>
        <v>0</v>
      </c>
      <c r="O434" s="461">
        <f t="shared" si="163"/>
        <v>0</v>
      </c>
      <c r="P434" s="462">
        <f t="shared" si="164"/>
        <v>0</v>
      </c>
      <c r="R434" s="465" t="s">
        <v>308</v>
      </c>
      <c r="S434" s="461">
        <v>0</v>
      </c>
      <c r="T434" s="462">
        <v>0</v>
      </c>
      <c r="U434" s="461">
        <v>0</v>
      </c>
      <c r="V434" s="462">
        <v>0</v>
      </c>
    </row>
    <row r="435" spans="1:22" x14ac:dyDescent="0.2">
      <c r="A435" s="465" t="s">
        <v>309</v>
      </c>
      <c r="B435" s="461">
        <v>0</v>
      </c>
      <c r="C435" s="462">
        <v>0</v>
      </c>
      <c r="D435" s="461">
        <v>0</v>
      </c>
      <c r="E435" s="462">
        <v>0</v>
      </c>
      <c r="F435" s="461">
        <v>0</v>
      </c>
      <c r="G435" s="462">
        <v>0</v>
      </c>
      <c r="H435" s="461">
        <v>0</v>
      </c>
      <c r="I435" s="462">
        <v>0</v>
      </c>
      <c r="J435" s="461">
        <v>0</v>
      </c>
      <c r="K435" s="462">
        <v>0</v>
      </c>
      <c r="L435" s="435"/>
      <c r="M435" s="461">
        <f t="shared" si="161"/>
        <v>0</v>
      </c>
      <c r="N435" s="462">
        <f t="shared" si="162"/>
        <v>0</v>
      </c>
      <c r="O435" s="461">
        <f t="shared" si="163"/>
        <v>0</v>
      </c>
      <c r="P435" s="462">
        <f t="shared" si="164"/>
        <v>0</v>
      </c>
      <c r="R435" s="465" t="s">
        <v>309</v>
      </c>
      <c r="S435" s="461">
        <v>0</v>
      </c>
      <c r="T435" s="462">
        <v>0</v>
      </c>
      <c r="U435" s="461">
        <v>0</v>
      </c>
      <c r="V435" s="462">
        <v>0</v>
      </c>
    </row>
    <row r="436" spans="1:22" x14ac:dyDescent="0.2">
      <c r="A436" s="466" t="s">
        <v>310</v>
      </c>
      <c r="B436" s="461">
        <v>0</v>
      </c>
      <c r="C436" s="462">
        <v>13484.520368797903</v>
      </c>
      <c r="D436" s="461">
        <v>0</v>
      </c>
      <c r="E436" s="462">
        <v>12160.758126024295</v>
      </c>
      <c r="F436" s="461">
        <v>0</v>
      </c>
      <c r="G436" s="462">
        <v>14676.728365793047</v>
      </c>
      <c r="H436" s="461">
        <v>0</v>
      </c>
      <c r="I436" s="492">
        <v>15322.199999999997</v>
      </c>
      <c r="J436" s="461">
        <v>0</v>
      </c>
      <c r="K436" s="492">
        <v>15846.02</v>
      </c>
      <c r="L436" s="435"/>
      <c r="M436" s="461">
        <f t="shared" si="161"/>
        <v>0</v>
      </c>
      <c r="N436" s="492">
        <f t="shared" si="162"/>
        <v>0</v>
      </c>
      <c r="O436" s="461">
        <f t="shared" si="163"/>
        <v>0</v>
      </c>
      <c r="P436" s="492">
        <f t="shared" si="164"/>
        <v>0</v>
      </c>
      <c r="R436" s="466" t="s">
        <v>310</v>
      </c>
      <c r="S436" s="461">
        <v>0</v>
      </c>
      <c r="T436" s="492">
        <v>15322.199999999997</v>
      </c>
      <c r="U436" s="461">
        <v>0</v>
      </c>
      <c r="V436" s="492">
        <v>15846.02</v>
      </c>
    </row>
    <row r="437" spans="1:22" ht="3" customHeight="1" x14ac:dyDescent="0.2">
      <c r="A437" s="469"/>
      <c r="B437" s="470"/>
      <c r="C437" s="471"/>
      <c r="D437" s="470"/>
      <c r="E437" s="471"/>
      <c r="F437" s="470"/>
      <c r="G437" s="471"/>
      <c r="H437" s="470"/>
      <c r="I437" s="471"/>
      <c r="J437" s="470"/>
      <c r="K437" s="471"/>
      <c r="L437" s="435"/>
      <c r="M437" s="470"/>
      <c r="N437" s="471"/>
      <c r="O437" s="470"/>
      <c r="P437" s="471"/>
      <c r="R437" s="469"/>
      <c r="S437" s="470"/>
      <c r="T437" s="471"/>
      <c r="U437" s="470"/>
      <c r="V437" s="471"/>
    </row>
    <row r="438" spans="1:22" ht="12" thickBot="1" x14ac:dyDescent="0.25">
      <c r="A438" s="472" t="s">
        <v>205</v>
      </c>
      <c r="B438" s="473">
        <f t="shared" ref="B438:G438" si="165">SUM(B427:B437)</f>
        <v>0</v>
      </c>
      <c r="C438" s="474">
        <f t="shared" si="165"/>
        <v>25636.289607334038</v>
      </c>
      <c r="D438" s="473">
        <f t="shared" si="165"/>
        <v>0</v>
      </c>
      <c r="E438" s="474">
        <f t="shared" si="165"/>
        <v>31899.597408451751</v>
      </c>
      <c r="F438" s="473">
        <f t="shared" si="165"/>
        <v>0</v>
      </c>
      <c r="G438" s="474">
        <f t="shared" si="165"/>
        <v>33931.145090777944</v>
      </c>
      <c r="H438" s="473">
        <v>0</v>
      </c>
      <c r="I438" s="474">
        <v>55990.6</v>
      </c>
      <c r="J438" s="473">
        <v>0</v>
      </c>
      <c r="K438" s="474">
        <v>57273.22</v>
      </c>
      <c r="L438" s="435"/>
      <c r="M438" s="473">
        <f>IFERROR(H438-S438,"")</f>
        <v>0</v>
      </c>
      <c r="N438" s="474">
        <f>IFERROR(I438-T438,"")</f>
        <v>0</v>
      </c>
      <c r="O438" s="473">
        <f>IFERROR(J438-U438,"")</f>
        <v>0</v>
      </c>
      <c r="P438" s="474">
        <f>IFERROR(K438-V438,"")</f>
        <v>0</v>
      </c>
      <c r="R438" s="472" t="s">
        <v>205</v>
      </c>
      <c r="S438" s="473">
        <v>0</v>
      </c>
      <c r="T438" s="474">
        <v>55990.6</v>
      </c>
      <c r="U438" s="473">
        <v>0</v>
      </c>
      <c r="V438" s="474">
        <v>57273.22</v>
      </c>
    </row>
    <row r="439" spans="1:22" ht="12" thickTop="1" x14ac:dyDescent="0.2">
      <c r="A439" s="475"/>
      <c r="B439" s="477"/>
      <c r="C439" s="476"/>
      <c r="D439" s="477"/>
      <c r="E439" s="476"/>
      <c r="F439" s="477"/>
      <c r="G439" s="476"/>
      <c r="H439" s="477"/>
      <c r="I439" s="476"/>
      <c r="J439" s="477"/>
      <c r="K439" s="476"/>
      <c r="L439" s="435"/>
      <c r="M439" s="477"/>
      <c r="N439" s="476"/>
      <c r="O439" s="477"/>
      <c r="P439" s="476"/>
      <c r="R439" s="475"/>
      <c r="S439" s="477"/>
      <c r="T439" s="476"/>
      <c r="U439" s="477"/>
      <c r="V439" s="476"/>
    </row>
    <row r="440" spans="1:22" x14ac:dyDescent="0.2">
      <c r="A440" s="476"/>
      <c r="B440" s="477"/>
      <c r="C440" s="476"/>
      <c r="D440" s="477"/>
      <c r="E440" s="476"/>
      <c r="F440" s="477"/>
      <c r="G440" s="476"/>
      <c r="H440" s="477"/>
      <c r="I440" s="476"/>
      <c r="J440" s="477"/>
      <c r="K440" s="476"/>
      <c r="L440" s="435"/>
      <c r="M440" s="477"/>
      <c r="N440" s="476"/>
      <c r="O440" s="477"/>
      <c r="P440" s="476"/>
      <c r="R440" s="476"/>
      <c r="S440" s="477"/>
      <c r="T440" s="476"/>
      <c r="U440" s="477"/>
      <c r="V440" s="476"/>
    </row>
    <row r="441" spans="1:22" x14ac:dyDescent="0.2">
      <c r="A441" s="480" t="s">
        <v>313</v>
      </c>
      <c r="B441" s="487"/>
      <c r="C441" s="486"/>
      <c r="D441" s="487"/>
      <c r="E441" s="486"/>
      <c r="F441" s="487"/>
      <c r="G441" s="486"/>
      <c r="H441" s="487"/>
      <c r="I441" s="486"/>
      <c r="J441" s="487"/>
      <c r="K441" s="486"/>
      <c r="L441" s="435"/>
      <c r="M441" s="487"/>
      <c r="N441" s="486"/>
      <c r="O441" s="487"/>
      <c r="P441" s="486"/>
      <c r="R441" s="480" t="s">
        <v>313</v>
      </c>
      <c r="S441" s="487"/>
      <c r="T441" s="486"/>
      <c r="U441" s="487"/>
      <c r="V441" s="486"/>
    </row>
    <row r="442" spans="1:22" x14ac:dyDescent="0.2">
      <c r="A442" s="455" t="s">
        <v>301</v>
      </c>
      <c r="B442" s="456">
        <v>0</v>
      </c>
      <c r="C442" s="457">
        <v>0</v>
      </c>
      <c r="D442" s="456">
        <v>0</v>
      </c>
      <c r="E442" s="457">
        <v>0</v>
      </c>
      <c r="F442" s="456">
        <v>0</v>
      </c>
      <c r="G442" s="457">
        <v>0</v>
      </c>
      <c r="H442" s="456">
        <v>0</v>
      </c>
      <c r="I442" s="457">
        <v>0</v>
      </c>
      <c r="J442" s="456">
        <v>0</v>
      </c>
      <c r="K442" s="457">
        <v>0</v>
      </c>
      <c r="L442" s="435"/>
      <c r="M442" s="456">
        <f t="shared" ref="M442:M451" si="166">IFERROR(H442-S442,"")</f>
        <v>0</v>
      </c>
      <c r="N442" s="457">
        <f t="shared" ref="N442:N451" si="167">IFERROR(I442-T442,"")</f>
        <v>0</v>
      </c>
      <c r="O442" s="456">
        <f t="shared" ref="O442:O451" si="168">IFERROR(J442-U442,"")</f>
        <v>0</v>
      </c>
      <c r="P442" s="457">
        <f t="shared" ref="P442:P451" si="169">IFERROR(K442-V442,"")</f>
        <v>0</v>
      </c>
      <c r="R442" s="455" t="s">
        <v>301</v>
      </c>
      <c r="S442" s="456">
        <v>0</v>
      </c>
      <c r="T442" s="457">
        <v>0</v>
      </c>
      <c r="U442" s="456">
        <v>0</v>
      </c>
      <c r="V442" s="457">
        <v>0</v>
      </c>
    </row>
    <row r="443" spans="1:22" x14ac:dyDescent="0.2">
      <c r="A443" s="465" t="s">
        <v>302</v>
      </c>
      <c r="B443" s="461">
        <v>0</v>
      </c>
      <c r="C443" s="462">
        <v>0</v>
      </c>
      <c r="D443" s="461">
        <v>0</v>
      </c>
      <c r="E443" s="462">
        <v>0</v>
      </c>
      <c r="F443" s="461">
        <v>0</v>
      </c>
      <c r="G443" s="462">
        <v>0</v>
      </c>
      <c r="H443" s="461">
        <v>0</v>
      </c>
      <c r="I443" s="462">
        <v>0</v>
      </c>
      <c r="J443" s="461">
        <v>0</v>
      </c>
      <c r="K443" s="462">
        <v>0</v>
      </c>
      <c r="L443" s="435"/>
      <c r="M443" s="461">
        <f t="shared" si="166"/>
        <v>0</v>
      </c>
      <c r="N443" s="462">
        <f t="shared" si="167"/>
        <v>0</v>
      </c>
      <c r="O443" s="461">
        <f t="shared" si="168"/>
        <v>0</v>
      </c>
      <c r="P443" s="462">
        <f t="shared" si="169"/>
        <v>0</v>
      </c>
      <c r="R443" s="465" t="s">
        <v>302</v>
      </c>
      <c r="S443" s="461">
        <v>0</v>
      </c>
      <c r="T443" s="462">
        <v>0</v>
      </c>
      <c r="U443" s="461">
        <v>0</v>
      </c>
      <c r="V443" s="462">
        <v>0</v>
      </c>
    </row>
    <row r="444" spans="1:22" x14ac:dyDescent="0.2">
      <c r="A444" s="460" t="s">
        <v>303</v>
      </c>
      <c r="B444" s="461">
        <v>0</v>
      </c>
      <c r="C444" s="462">
        <v>0</v>
      </c>
      <c r="D444" s="461">
        <v>0</v>
      </c>
      <c r="E444" s="462">
        <v>0</v>
      </c>
      <c r="F444" s="461">
        <v>0</v>
      </c>
      <c r="G444" s="462">
        <v>0</v>
      </c>
      <c r="H444" s="461">
        <v>0</v>
      </c>
      <c r="I444" s="462">
        <v>0</v>
      </c>
      <c r="J444" s="461">
        <v>0</v>
      </c>
      <c r="K444" s="462">
        <v>0</v>
      </c>
      <c r="L444" s="435"/>
      <c r="M444" s="461">
        <f t="shared" si="166"/>
        <v>0</v>
      </c>
      <c r="N444" s="462">
        <f t="shared" si="167"/>
        <v>0</v>
      </c>
      <c r="O444" s="461">
        <f t="shared" si="168"/>
        <v>0</v>
      </c>
      <c r="P444" s="462">
        <f t="shared" si="169"/>
        <v>0</v>
      </c>
      <c r="R444" s="460" t="s">
        <v>303</v>
      </c>
      <c r="S444" s="461">
        <v>0</v>
      </c>
      <c r="T444" s="462">
        <v>0</v>
      </c>
      <c r="U444" s="461">
        <v>0</v>
      </c>
      <c r="V444" s="462">
        <v>0</v>
      </c>
    </row>
    <row r="445" spans="1:22" x14ac:dyDescent="0.2">
      <c r="A445" s="465" t="s">
        <v>304</v>
      </c>
      <c r="B445" s="461">
        <v>0</v>
      </c>
      <c r="C445" s="462">
        <v>0</v>
      </c>
      <c r="D445" s="461">
        <v>0</v>
      </c>
      <c r="E445" s="462">
        <v>0</v>
      </c>
      <c r="F445" s="461">
        <v>0</v>
      </c>
      <c r="G445" s="462">
        <v>0</v>
      </c>
      <c r="H445" s="461">
        <v>0</v>
      </c>
      <c r="I445" s="462">
        <v>0</v>
      </c>
      <c r="J445" s="461">
        <v>0</v>
      </c>
      <c r="K445" s="462">
        <v>0</v>
      </c>
      <c r="L445" s="435"/>
      <c r="M445" s="461">
        <f t="shared" si="166"/>
        <v>0</v>
      </c>
      <c r="N445" s="462">
        <f t="shared" si="167"/>
        <v>0</v>
      </c>
      <c r="O445" s="461">
        <f t="shared" si="168"/>
        <v>0</v>
      </c>
      <c r="P445" s="462">
        <f t="shared" si="169"/>
        <v>0</v>
      </c>
      <c r="R445" s="465" t="s">
        <v>304</v>
      </c>
      <c r="S445" s="461">
        <v>0</v>
      </c>
      <c r="T445" s="462">
        <v>0</v>
      </c>
      <c r="U445" s="461">
        <v>0</v>
      </c>
      <c r="V445" s="462">
        <v>0</v>
      </c>
    </row>
    <row r="446" spans="1:22" x14ac:dyDescent="0.2">
      <c r="A446" s="465" t="s">
        <v>305</v>
      </c>
      <c r="B446" s="461">
        <v>0</v>
      </c>
      <c r="C446" s="462">
        <v>26283.939086901526</v>
      </c>
      <c r="D446" s="461">
        <v>0</v>
      </c>
      <c r="E446" s="462">
        <v>30056.232681262376</v>
      </c>
      <c r="F446" s="461">
        <v>0</v>
      </c>
      <c r="G446" s="462">
        <v>28557.885611676924</v>
      </c>
      <c r="H446" s="461">
        <v>0</v>
      </c>
      <c r="I446" s="462">
        <v>30914.429999999997</v>
      </c>
      <c r="J446" s="461">
        <v>0</v>
      </c>
      <c r="K446" s="462">
        <v>31841.89</v>
      </c>
      <c r="L446" s="435"/>
      <c r="M446" s="461">
        <f t="shared" si="166"/>
        <v>0</v>
      </c>
      <c r="N446" s="462">
        <f t="shared" si="167"/>
        <v>0</v>
      </c>
      <c r="O446" s="461">
        <f t="shared" si="168"/>
        <v>0</v>
      </c>
      <c r="P446" s="462">
        <f t="shared" si="169"/>
        <v>0</v>
      </c>
      <c r="R446" s="465" t="s">
        <v>305</v>
      </c>
      <c r="S446" s="461">
        <v>0</v>
      </c>
      <c r="T446" s="462">
        <v>30914.429999999997</v>
      </c>
      <c r="U446" s="461">
        <v>0</v>
      </c>
      <c r="V446" s="462">
        <v>31841.89</v>
      </c>
    </row>
    <row r="447" spans="1:22" x14ac:dyDescent="0.2">
      <c r="A447" s="465" t="s">
        <v>306</v>
      </c>
      <c r="B447" s="461">
        <v>0</v>
      </c>
      <c r="C447" s="462">
        <v>0</v>
      </c>
      <c r="D447" s="461">
        <v>0</v>
      </c>
      <c r="E447" s="462">
        <v>0</v>
      </c>
      <c r="F447" s="461">
        <v>0</v>
      </c>
      <c r="G447" s="462">
        <v>0</v>
      </c>
      <c r="H447" s="461">
        <v>0</v>
      </c>
      <c r="I447" s="462">
        <v>0</v>
      </c>
      <c r="J447" s="461">
        <v>0</v>
      </c>
      <c r="K447" s="462">
        <v>0</v>
      </c>
      <c r="L447" s="435"/>
      <c r="M447" s="461">
        <f t="shared" si="166"/>
        <v>0</v>
      </c>
      <c r="N447" s="462">
        <f t="shared" si="167"/>
        <v>0</v>
      </c>
      <c r="O447" s="461">
        <f t="shared" si="168"/>
        <v>0</v>
      </c>
      <c r="P447" s="462">
        <f t="shared" si="169"/>
        <v>0</v>
      </c>
      <c r="R447" s="465" t="s">
        <v>306</v>
      </c>
      <c r="S447" s="461">
        <v>0</v>
      </c>
      <c r="T447" s="462">
        <v>0</v>
      </c>
      <c r="U447" s="461">
        <v>0</v>
      </c>
      <c r="V447" s="462">
        <v>0</v>
      </c>
    </row>
    <row r="448" spans="1:22" x14ac:dyDescent="0.2">
      <c r="A448" s="465" t="s">
        <v>307</v>
      </c>
      <c r="B448" s="461">
        <v>0</v>
      </c>
      <c r="C448" s="462">
        <v>0</v>
      </c>
      <c r="D448" s="461">
        <v>0</v>
      </c>
      <c r="E448" s="462">
        <v>0</v>
      </c>
      <c r="F448" s="461">
        <v>0</v>
      </c>
      <c r="G448" s="462">
        <v>0</v>
      </c>
      <c r="H448" s="461">
        <v>0</v>
      </c>
      <c r="I448" s="462">
        <v>0</v>
      </c>
      <c r="J448" s="461">
        <v>0</v>
      </c>
      <c r="K448" s="462">
        <v>0</v>
      </c>
      <c r="L448" s="435"/>
      <c r="M448" s="461">
        <f t="shared" si="166"/>
        <v>0</v>
      </c>
      <c r="N448" s="462">
        <f t="shared" si="167"/>
        <v>0</v>
      </c>
      <c r="O448" s="461">
        <f t="shared" si="168"/>
        <v>0</v>
      </c>
      <c r="P448" s="462">
        <f t="shared" si="169"/>
        <v>0</v>
      </c>
      <c r="R448" s="465" t="s">
        <v>307</v>
      </c>
      <c r="S448" s="461">
        <v>0</v>
      </c>
      <c r="T448" s="462">
        <v>0</v>
      </c>
      <c r="U448" s="461">
        <v>0</v>
      </c>
      <c r="V448" s="462">
        <v>0</v>
      </c>
    </row>
    <row r="449" spans="1:22" x14ac:dyDescent="0.2">
      <c r="A449" s="465" t="s">
        <v>308</v>
      </c>
      <c r="B449" s="461">
        <v>0</v>
      </c>
      <c r="C449" s="462">
        <v>0</v>
      </c>
      <c r="D449" s="461">
        <v>0</v>
      </c>
      <c r="E449" s="462">
        <v>0</v>
      </c>
      <c r="F449" s="461">
        <v>0</v>
      </c>
      <c r="G449" s="462">
        <v>0</v>
      </c>
      <c r="H449" s="461">
        <v>0</v>
      </c>
      <c r="I449" s="462">
        <v>0</v>
      </c>
      <c r="J449" s="461">
        <v>0</v>
      </c>
      <c r="K449" s="462">
        <v>0</v>
      </c>
      <c r="L449" s="435"/>
      <c r="M449" s="461">
        <f t="shared" si="166"/>
        <v>0</v>
      </c>
      <c r="N449" s="462">
        <f t="shared" si="167"/>
        <v>0</v>
      </c>
      <c r="O449" s="461">
        <f t="shared" si="168"/>
        <v>0</v>
      </c>
      <c r="P449" s="462">
        <f t="shared" si="169"/>
        <v>0</v>
      </c>
      <c r="R449" s="465" t="s">
        <v>308</v>
      </c>
      <c r="S449" s="461">
        <v>0</v>
      </c>
      <c r="T449" s="462">
        <v>0</v>
      </c>
      <c r="U449" s="461">
        <v>0</v>
      </c>
      <c r="V449" s="462">
        <v>0</v>
      </c>
    </row>
    <row r="450" spans="1:22" x14ac:dyDescent="0.2">
      <c r="A450" s="465" t="s">
        <v>309</v>
      </c>
      <c r="B450" s="461">
        <v>0</v>
      </c>
      <c r="C450" s="462">
        <v>0</v>
      </c>
      <c r="D450" s="461">
        <v>0</v>
      </c>
      <c r="E450" s="462">
        <v>0</v>
      </c>
      <c r="F450" s="461">
        <v>0</v>
      </c>
      <c r="G450" s="462">
        <v>0</v>
      </c>
      <c r="H450" s="461">
        <v>0</v>
      </c>
      <c r="I450" s="462">
        <v>0</v>
      </c>
      <c r="J450" s="461">
        <v>0</v>
      </c>
      <c r="K450" s="462">
        <v>0</v>
      </c>
      <c r="L450" s="435"/>
      <c r="M450" s="461">
        <f t="shared" si="166"/>
        <v>0</v>
      </c>
      <c r="N450" s="462">
        <f t="shared" si="167"/>
        <v>0</v>
      </c>
      <c r="O450" s="461">
        <f t="shared" si="168"/>
        <v>0</v>
      </c>
      <c r="P450" s="462">
        <f t="shared" si="169"/>
        <v>0</v>
      </c>
      <c r="R450" s="465" t="s">
        <v>309</v>
      </c>
      <c r="S450" s="461">
        <v>0</v>
      </c>
      <c r="T450" s="462">
        <v>0</v>
      </c>
      <c r="U450" s="461">
        <v>0</v>
      </c>
      <c r="V450" s="462">
        <v>0</v>
      </c>
    </row>
    <row r="451" spans="1:22" x14ac:dyDescent="0.2">
      <c r="A451" s="466" t="s">
        <v>310</v>
      </c>
      <c r="B451" s="461">
        <v>0</v>
      </c>
      <c r="C451" s="462">
        <v>130.22314454312291</v>
      </c>
      <c r="D451" s="461">
        <v>0</v>
      </c>
      <c r="E451" s="462">
        <v>65.793073773467739</v>
      </c>
      <c r="F451" s="461">
        <v>0</v>
      </c>
      <c r="G451" s="462">
        <v>139.04862003941082</v>
      </c>
      <c r="H451" s="461">
        <v>0</v>
      </c>
      <c r="I451" s="492">
        <v>141.24</v>
      </c>
      <c r="J451" s="461">
        <v>0</v>
      </c>
      <c r="K451" s="492">
        <v>147.02000000000001</v>
      </c>
      <c r="L451" s="435"/>
      <c r="M451" s="461">
        <f t="shared" si="166"/>
        <v>0</v>
      </c>
      <c r="N451" s="492">
        <f t="shared" si="167"/>
        <v>0</v>
      </c>
      <c r="O451" s="461">
        <f t="shared" si="168"/>
        <v>0</v>
      </c>
      <c r="P451" s="492">
        <f t="shared" si="169"/>
        <v>0</v>
      </c>
      <c r="R451" s="466" t="s">
        <v>310</v>
      </c>
      <c r="S451" s="461">
        <v>0</v>
      </c>
      <c r="T451" s="492">
        <v>141.24</v>
      </c>
      <c r="U451" s="461">
        <v>0</v>
      </c>
      <c r="V451" s="492">
        <v>147.02000000000001</v>
      </c>
    </row>
    <row r="452" spans="1:22" ht="3" customHeight="1" x14ac:dyDescent="0.2">
      <c r="A452" s="469"/>
      <c r="B452" s="470"/>
      <c r="C452" s="471"/>
      <c r="D452" s="470"/>
      <c r="E452" s="471"/>
      <c r="F452" s="470"/>
      <c r="G452" s="471"/>
      <c r="H452" s="470"/>
      <c r="I452" s="471"/>
      <c r="J452" s="470"/>
      <c r="K452" s="471"/>
      <c r="L452" s="435"/>
      <c r="M452" s="470"/>
      <c r="N452" s="471"/>
      <c r="O452" s="470"/>
      <c r="P452" s="471"/>
      <c r="R452" s="469"/>
      <c r="S452" s="470"/>
      <c r="T452" s="471"/>
      <c r="U452" s="470"/>
      <c r="V452" s="471"/>
    </row>
    <row r="453" spans="1:22" ht="12" thickBot="1" x14ac:dyDescent="0.25">
      <c r="A453" s="472" t="s">
        <v>205</v>
      </c>
      <c r="B453" s="473">
        <f t="shared" ref="B453:G453" si="170">SUM(B442:B452)</f>
        <v>0</v>
      </c>
      <c r="C453" s="474">
        <f t="shared" si="170"/>
        <v>26414.16223144465</v>
      </c>
      <c r="D453" s="473">
        <f t="shared" si="170"/>
        <v>0</v>
      </c>
      <c r="E453" s="474">
        <f t="shared" si="170"/>
        <v>30122.025755035844</v>
      </c>
      <c r="F453" s="473">
        <f t="shared" si="170"/>
        <v>0</v>
      </c>
      <c r="G453" s="474">
        <f t="shared" si="170"/>
        <v>28696.934231716335</v>
      </c>
      <c r="H453" s="473">
        <v>0</v>
      </c>
      <c r="I453" s="474">
        <v>31055.67</v>
      </c>
      <c r="J453" s="473">
        <v>0</v>
      </c>
      <c r="K453" s="474">
        <v>31988.91</v>
      </c>
      <c r="L453" s="435"/>
      <c r="M453" s="473">
        <f>IFERROR(H453-S453,"")</f>
        <v>0</v>
      </c>
      <c r="N453" s="474">
        <f>IFERROR(I453-T453,"")</f>
        <v>0</v>
      </c>
      <c r="O453" s="473">
        <f>IFERROR(J453-U453,"")</f>
        <v>0</v>
      </c>
      <c r="P453" s="474">
        <f>IFERROR(K453-V453,"")</f>
        <v>0</v>
      </c>
      <c r="R453" s="472" t="s">
        <v>205</v>
      </c>
      <c r="S453" s="473">
        <v>0</v>
      </c>
      <c r="T453" s="474">
        <v>31055.67</v>
      </c>
      <c r="U453" s="473">
        <v>0</v>
      </c>
      <c r="V453" s="474">
        <v>31988.91</v>
      </c>
    </row>
    <row r="454" spans="1:22" ht="12" thickTop="1" x14ac:dyDescent="0.2">
      <c r="A454" s="475"/>
      <c r="B454" s="477"/>
      <c r="C454" s="476"/>
      <c r="D454" s="477"/>
      <c r="E454" s="476"/>
      <c r="F454" s="477"/>
      <c r="G454" s="476"/>
      <c r="H454" s="477"/>
      <c r="I454" s="476"/>
      <c r="J454" s="477"/>
      <c r="K454" s="476"/>
      <c r="L454" s="435"/>
      <c r="M454" s="477"/>
      <c r="N454" s="476"/>
      <c r="O454" s="477"/>
      <c r="P454" s="476"/>
      <c r="R454" s="475"/>
      <c r="S454" s="477"/>
      <c r="T454" s="476"/>
      <c r="U454" s="477"/>
      <c r="V454" s="476"/>
    </row>
    <row r="455" spans="1:22" x14ac:dyDescent="0.2">
      <c r="A455" s="476"/>
      <c r="B455" s="477"/>
      <c r="C455" s="476"/>
      <c r="D455" s="477"/>
      <c r="E455" s="476"/>
      <c r="F455" s="477"/>
      <c r="G455" s="476"/>
      <c r="H455" s="477"/>
      <c r="I455" s="476"/>
      <c r="J455" s="477"/>
      <c r="K455" s="476"/>
      <c r="L455" s="435"/>
      <c r="M455" s="477"/>
      <c r="N455" s="476"/>
      <c r="O455" s="477"/>
      <c r="P455" s="476"/>
      <c r="R455" s="476"/>
      <c r="S455" s="477"/>
      <c r="T455" s="476"/>
      <c r="U455" s="477"/>
      <c r="V455" s="476"/>
    </row>
    <row r="456" spans="1:22" x14ac:dyDescent="0.2">
      <c r="A456" s="480" t="s">
        <v>314</v>
      </c>
      <c r="B456" s="482"/>
      <c r="C456" s="481"/>
      <c r="D456" s="482"/>
      <c r="E456" s="481"/>
      <c r="F456" s="482"/>
      <c r="G456" s="481"/>
      <c r="H456" s="482"/>
      <c r="I456" s="481"/>
      <c r="J456" s="482"/>
      <c r="K456" s="481"/>
      <c r="L456" s="435"/>
      <c r="M456" s="482"/>
      <c r="N456" s="481"/>
      <c r="O456" s="482"/>
      <c r="P456" s="481"/>
      <c r="R456" s="480" t="s">
        <v>314</v>
      </c>
      <c r="S456" s="482"/>
      <c r="T456" s="481"/>
      <c r="U456" s="482"/>
      <c r="V456" s="481"/>
    </row>
    <row r="457" spans="1:22" x14ac:dyDescent="0.2">
      <c r="A457" s="455" t="s">
        <v>301</v>
      </c>
      <c r="B457" s="456">
        <v>0</v>
      </c>
      <c r="C457" s="457">
        <v>0</v>
      </c>
      <c r="D457" s="456">
        <v>0</v>
      </c>
      <c r="E457" s="457">
        <v>0</v>
      </c>
      <c r="F457" s="456">
        <v>0</v>
      </c>
      <c r="G457" s="457">
        <v>0</v>
      </c>
      <c r="H457" s="456">
        <v>0</v>
      </c>
      <c r="I457" s="457">
        <v>0</v>
      </c>
      <c r="J457" s="456">
        <v>0</v>
      </c>
      <c r="K457" s="457">
        <v>0</v>
      </c>
      <c r="L457" s="435"/>
      <c r="M457" s="456">
        <f t="shared" ref="M457:M466" si="171">IFERROR(H457-S457,"")</f>
        <v>0</v>
      </c>
      <c r="N457" s="457">
        <f t="shared" ref="N457:N466" si="172">IFERROR(I457-T457,"")</f>
        <v>0</v>
      </c>
      <c r="O457" s="456">
        <f t="shared" ref="O457:O466" si="173">IFERROR(J457-U457,"")</f>
        <v>0</v>
      </c>
      <c r="P457" s="457">
        <f t="shared" ref="P457:P466" si="174">IFERROR(K457-V457,"")</f>
        <v>0</v>
      </c>
      <c r="R457" s="455" t="s">
        <v>301</v>
      </c>
      <c r="S457" s="456">
        <v>0</v>
      </c>
      <c r="T457" s="457">
        <v>0</v>
      </c>
      <c r="U457" s="456">
        <v>0</v>
      </c>
      <c r="V457" s="457">
        <v>0</v>
      </c>
    </row>
    <row r="458" spans="1:22" x14ac:dyDescent="0.2">
      <c r="A458" s="465" t="s">
        <v>302</v>
      </c>
      <c r="B458" s="461">
        <v>0</v>
      </c>
      <c r="C458" s="462">
        <v>0</v>
      </c>
      <c r="D458" s="461">
        <v>0</v>
      </c>
      <c r="E458" s="462">
        <v>0</v>
      </c>
      <c r="F458" s="461">
        <v>0</v>
      </c>
      <c r="G458" s="462">
        <v>0</v>
      </c>
      <c r="H458" s="461">
        <v>0</v>
      </c>
      <c r="I458" s="462">
        <v>0</v>
      </c>
      <c r="J458" s="461">
        <v>0</v>
      </c>
      <c r="K458" s="462">
        <v>0</v>
      </c>
      <c r="L458" s="435"/>
      <c r="M458" s="461">
        <f t="shared" si="171"/>
        <v>0</v>
      </c>
      <c r="N458" s="462">
        <f t="shared" si="172"/>
        <v>0</v>
      </c>
      <c r="O458" s="461">
        <f t="shared" si="173"/>
        <v>0</v>
      </c>
      <c r="P458" s="462">
        <f t="shared" si="174"/>
        <v>0</v>
      </c>
      <c r="R458" s="465" t="s">
        <v>302</v>
      </c>
      <c r="S458" s="461">
        <v>0</v>
      </c>
      <c r="T458" s="462">
        <v>0</v>
      </c>
      <c r="U458" s="461">
        <v>0</v>
      </c>
      <c r="V458" s="462">
        <v>0</v>
      </c>
    </row>
    <row r="459" spans="1:22" x14ac:dyDescent="0.2">
      <c r="A459" s="460" t="s">
        <v>303</v>
      </c>
      <c r="B459" s="461">
        <v>0</v>
      </c>
      <c r="C459" s="462">
        <v>0</v>
      </c>
      <c r="D459" s="461">
        <v>0</v>
      </c>
      <c r="E459" s="462">
        <v>0</v>
      </c>
      <c r="F459" s="461">
        <v>0</v>
      </c>
      <c r="G459" s="462">
        <v>0</v>
      </c>
      <c r="H459" s="461">
        <v>0</v>
      </c>
      <c r="I459" s="462">
        <v>0</v>
      </c>
      <c r="J459" s="461">
        <v>0</v>
      </c>
      <c r="K459" s="462">
        <v>0</v>
      </c>
      <c r="L459" s="435"/>
      <c r="M459" s="461">
        <f t="shared" si="171"/>
        <v>0</v>
      </c>
      <c r="N459" s="462">
        <f t="shared" si="172"/>
        <v>0</v>
      </c>
      <c r="O459" s="461">
        <f t="shared" si="173"/>
        <v>0</v>
      </c>
      <c r="P459" s="462">
        <f t="shared" si="174"/>
        <v>0</v>
      </c>
      <c r="R459" s="460" t="s">
        <v>303</v>
      </c>
      <c r="S459" s="461">
        <v>0</v>
      </c>
      <c r="T459" s="462">
        <v>0</v>
      </c>
      <c r="U459" s="461">
        <v>0</v>
      </c>
      <c r="V459" s="462">
        <v>0</v>
      </c>
    </row>
    <row r="460" spans="1:22" x14ac:dyDescent="0.2">
      <c r="A460" s="465" t="s">
        <v>304</v>
      </c>
      <c r="B460" s="461">
        <v>0</v>
      </c>
      <c r="C460" s="462">
        <v>0</v>
      </c>
      <c r="D460" s="461">
        <v>0</v>
      </c>
      <c r="E460" s="462">
        <v>0</v>
      </c>
      <c r="F460" s="461">
        <v>0</v>
      </c>
      <c r="G460" s="462">
        <v>0</v>
      </c>
      <c r="H460" s="461">
        <v>0</v>
      </c>
      <c r="I460" s="462">
        <v>0</v>
      </c>
      <c r="J460" s="461">
        <v>0</v>
      </c>
      <c r="K460" s="462">
        <v>0</v>
      </c>
      <c r="L460" s="435"/>
      <c r="M460" s="461">
        <f t="shared" si="171"/>
        <v>0</v>
      </c>
      <c r="N460" s="462">
        <f t="shared" si="172"/>
        <v>0</v>
      </c>
      <c r="O460" s="461">
        <f t="shared" si="173"/>
        <v>0</v>
      </c>
      <c r="P460" s="462">
        <f t="shared" si="174"/>
        <v>0</v>
      </c>
      <c r="R460" s="465" t="s">
        <v>304</v>
      </c>
      <c r="S460" s="461">
        <v>0</v>
      </c>
      <c r="T460" s="462">
        <v>0</v>
      </c>
      <c r="U460" s="461">
        <v>0</v>
      </c>
      <c r="V460" s="462">
        <v>0</v>
      </c>
    </row>
    <row r="461" spans="1:22" x14ac:dyDescent="0.2">
      <c r="A461" s="465" t="s">
        <v>305</v>
      </c>
      <c r="B461" s="461">
        <v>0</v>
      </c>
      <c r="C461" s="462">
        <v>45834.900661487613</v>
      </c>
      <c r="D461" s="461">
        <v>0</v>
      </c>
      <c r="E461" s="462">
        <v>52517.429868924381</v>
      </c>
      <c r="F461" s="461">
        <v>0</v>
      </c>
      <c r="G461" s="462">
        <v>45651.016577381299</v>
      </c>
      <c r="H461" s="461">
        <v>0</v>
      </c>
      <c r="I461" s="462">
        <v>55097.099999999991</v>
      </c>
      <c r="J461" s="461">
        <v>0</v>
      </c>
      <c r="K461" s="462">
        <v>56684.570000000007</v>
      </c>
      <c r="L461" s="435"/>
      <c r="M461" s="461">
        <f t="shared" si="171"/>
        <v>0</v>
      </c>
      <c r="N461" s="462">
        <f t="shared" si="172"/>
        <v>0</v>
      </c>
      <c r="O461" s="461">
        <f t="shared" si="173"/>
        <v>0</v>
      </c>
      <c r="P461" s="462">
        <f t="shared" si="174"/>
        <v>0</v>
      </c>
      <c r="R461" s="465" t="s">
        <v>305</v>
      </c>
      <c r="S461" s="461">
        <v>0</v>
      </c>
      <c r="T461" s="462">
        <v>55097.099999999991</v>
      </c>
      <c r="U461" s="461">
        <v>0</v>
      </c>
      <c r="V461" s="462">
        <v>56684.570000000007</v>
      </c>
    </row>
    <row r="462" spans="1:22" x14ac:dyDescent="0.2">
      <c r="A462" s="465" t="s">
        <v>306</v>
      </c>
      <c r="B462" s="461">
        <v>0</v>
      </c>
      <c r="C462" s="462">
        <v>0</v>
      </c>
      <c r="D462" s="461">
        <v>0</v>
      </c>
      <c r="E462" s="462">
        <v>0</v>
      </c>
      <c r="F462" s="461">
        <v>0</v>
      </c>
      <c r="G462" s="462">
        <v>0</v>
      </c>
      <c r="H462" s="461">
        <v>0</v>
      </c>
      <c r="I462" s="462">
        <v>0</v>
      </c>
      <c r="J462" s="461">
        <v>0</v>
      </c>
      <c r="K462" s="462">
        <v>0</v>
      </c>
      <c r="L462" s="435"/>
      <c r="M462" s="461">
        <f t="shared" si="171"/>
        <v>0</v>
      </c>
      <c r="N462" s="462">
        <f t="shared" si="172"/>
        <v>0</v>
      </c>
      <c r="O462" s="461">
        <f t="shared" si="173"/>
        <v>0</v>
      </c>
      <c r="P462" s="462">
        <f t="shared" si="174"/>
        <v>0</v>
      </c>
      <c r="R462" s="465" t="s">
        <v>306</v>
      </c>
      <c r="S462" s="461">
        <v>0</v>
      </c>
      <c r="T462" s="462">
        <v>0</v>
      </c>
      <c r="U462" s="461">
        <v>0</v>
      </c>
      <c r="V462" s="462">
        <v>0</v>
      </c>
    </row>
    <row r="463" spans="1:22" x14ac:dyDescent="0.2">
      <c r="A463" s="465" t="s">
        <v>307</v>
      </c>
      <c r="B463" s="461">
        <v>0</v>
      </c>
      <c r="C463" s="462">
        <v>0</v>
      </c>
      <c r="D463" s="461">
        <v>0</v>
      </c>
      <c r="E463" s="462">
        <v>0</v>
      </c>
      <c r="F463" s="461">
        <v>0</v>
      </c>
      <c r="G463" s="462">
        <v>0</v>
      </c>
      <c r="H463" s="461">
        <v>0</v>
      </c>
      <c r="I463" s="462">
        <v>0</v>
      </c>
      <c r="J463" s="461">
        <v>0</v>
      </c>
      <c r="K463" s="462">
        <v>0</v>
      </c>
      <c r="L463" s="435"/>
      <c r="M463" s="461">
        <f t="shared" si="171"/>
        <v>0</v>
      </c>
      <c r="N463" s="462">
        <f t="shared" si="172"/>
        <v>0</v>
      </c>
      <c r="O463" s="461">
        <f t="shared" si="173"/>
        <v>0</v>
      </c>
      <c r="P463" s="462">
        <f t="shared" si="174"/>
        <v>0</v>
      </c>
      <c r="R463" s="465" t="s">
        <v>307</v>
      </c>
      <c r="S463" s="461">
        <v>0</v>
      </c>
      <c r="T463" s="462">
        <v>0</v>
      </c>
      <c r="U463" s="461">
        <v>0</v>
      </c>
      <c r="V463" s="462">
        <v>0</v>
      </c>
    </row>
    <row r="464" spans="1:22" x14ac:dyDescent="0.2">
      <c r="A464" s="465" t="s">
        <v>308</v>
      </c>
      <c r="B464" s="461">
        <v>0</v>
      </c>
      <c r="C464" s="462">
        <v>0</v>
      </c>
      <c r="D464" s="461">
        <v>0</v>
      </c>
      <c r="E464" s="462">
        <v>0</v>
      </c>
      <c r="F464" s="461">
        <v>0</v>
      </c>
      <c r="G464" s="462">
        <v>0</v>
      </c>
      <c r="H464" s="461">
        <v>0</v>
      </c>
      <c r="I464" s="462">
        <v>0</v>
      </c>
      <c r="J464" s="461">
        <v>0</v>
      </c>
      <c r="K464" s="462">
        <v>0</v>
      </c>
      <c r="L464" s="435"/>
      <c r="M464" s="461">
        <f t="shared" si="171"/>
        <v>0</v>
      </c>
      <c r="N464" s="462">
        <f t="shared" si="172"/>
        <v>0</v>
      </c>
      <c r="O464" s="461">
        <f t="shared" si="173"/>
        <v>0</v>
      </c>
      <c r="P464" s="462">
        <f t="shared" si="174"/>
        <v>0</v>
      </c>
      <c r="R464" s="465" t="s">
        <v>308</v>
      </c>
      <c r="S464" s="461">
        <v>0</v>
      </c>
      <c r="T464" s="462">
        <v>0</v>
      </c>
      <c r="U464" s="461">
        <v>0</v>
      </c>
      <c r="V464" s="462">
        <v>0</v>
      </c>
    </row>
    <row r="465" spans="1:22" x14ac:dyDescent="0.2">
      <c r="A465" s="465" t="s">
        <v>309</v>
      </c>
      <c r="B465" s="461">
        <v>0</v>
      </c>
      <c r="C465" s="462">
        <v>0</v>
      </c>
      <c r="D465" s="461">
        <v>0</v>
      </c>
      <c r="E465" s="462">
        <v>0</v>
      </c>
      <c r="F465" s="461">
        <v>0</v>
      </c>
      <c r="G465" s="462">
        <v>0</v>
      </c>
      <c r="H465" s="461">
        <v>0</v>
      </c>
      <c r="I465" s="462">
        <v>0</v>
      </c>
      <c r="J465" s="461">
        <v>0</v>
      </c>
      <c r="K465" s="462">
        <v>0</v>
      </c>
      <c r="L465" s="435"/>
      <c r="M465" s="461">
        <f t="shared" si="171"/>
        <v>0</v>
      </c>
      <c r="N465" s="462">
        <f t="shared" si="172"/>
        <v>0</v>
      </c>
      <c r="O465" s="461">
        <f t="shared" si="173"/>
        <v>0</v>
      </c>
      <c r="P465" s="462">
        <f t="shared" si="174"/>
        <v>0</v>
      </c>
      <c r="R465" s="465" t="s">
        <v>309</v>
      </c>
      <c r="S465" s="461">
        <v>0</v>
      </c>
      <c r="T465" s="462">
        <v>0</v>
      </c>
      <c r="U465" s="461">
        <v>0</v>
      </c>
      <c r="V465" s="462">
        <v>0</v>
      </c>
    </row>
    <row r="466" spans="1:22" x14ac:dyDescent="0.2">
      <c r="A466" s="466" t="s">
        <v>310</v>
      </c>
      <c r="B466" s="461">
        <v>0</v>
      </c>
      <c r="C466" s="462">
        <v>5519.5456188079406</v>
      </c>
      <c r="D466" s="461">
        <v>0</v>
      </c>
      <c r="E466" s="462">
        <v>5243.9279518968724</v>
      </c>
      <c r="F466" s="461">
        <v>0</v>
      </c>
      <c r="G466" s="462">
        <v>2163.9483121944945</v>
      </c>
      <c r="H466" s="461">
        <v>0</v>
      </c>
      <c r="I466" s="492">
        <v>3344.7800000000011</v>
      </c>
      <c r="J466" s="461">
        <v>0</v>
      </c>
      <c r="K466" s="492">
        <v>3442.9499999999994</v>
      </c>
      <c r="L466" s="435"/>
      <c r="M466" s="461">
        <f t="shared" si="171"/>
        <v>0</v>
      </c>
      <c r="N466" s="492">
        <f t="shared" si="172"/>
        <v>0</v>
      </c>
      <c r="O466" s="461">
        <f t="shared" si="173"/>
        <v>0</v>
      </c>
      <c r="P466" s="492">
        <f t="shared" si="174"/>
        <v>0</v>
      </c>
      <c r="R466" s="466" t="s">
        <v>310</v>
      </c>
      <c r="S466" s="461">
        <v>0</v>
      </c>
      <c r="T466" s="492">
        <v>3344.7800000000011</v>
      </c>
      <c r="U466" s="461">
        <v>0</v>
      </c>
      <c r="V466" s="492">
        <v>3442.9499999999994</v>
      </c>
    </row>
    <row r="467" spans="1:22" ht="3" customHeight="1" x14ac:dyDescent="0.2">
      <c r="A467" s="469"/>
      <c r="B467" s="470"/>
      <c r="C467" s="471"/>
      <c r="D467" s="470"/>
      <c r="E467" s="471"/>
      <c r="F467" s="470"/>
      <c r="G467" s="471"/>
      <c r="H467" s="470"/>
      <c r="I467" s="471"/>
      <c r="J467" s="470"/>
      <c r="K467" s="471"/>
      <c r="L467" s="435"/>
      <c r="M467" s="470"/>
      <c r="N467" s="471"/>
      <c r="O467" s="470"/>
      <c r="P467" s="471"/>
      <c r="R467" s="469"/>
      <c r="S467" s="470"/>
      <c r="T467" s="471"/>
      <c r="U467" s="470"/>
      <c r="V467" s="471"/>
    </row>
    <row r="468" spans="1:22" ht="12" thickBot="1" x14ac:dyDescent="0.25">
      <c r="A468" s="472" t="s">
        <v>205</v>
      </c>
      <c r="B468" s="473">
        <f t="shared" ref="B468:G468" si="175">SUM(B457:B467)</f>
        <v>0</v>
      </c>
      <c r="C468" s="474">
        <f t="shared" si="175"/>
        <v>51354.446280295553</v>
      </c>
      <c r="D468" s="473">
        <f t="shared" si="175"/>
        <v>0</v>
      </c>
      <c r="E468" s="474">
        <f t="shared" si="175"/>
        <v>57761.357820821257</v>
      </c>
      <c r="F468" s="473">
        <f t="shared" si="175"/>
        <v>0</v>
      </c>
      <c r="G468" s="474">
        <f t="shared" si="175"/>
        <v>47814.964889575793</v>
      </c>
      <c r="H468" s="473">
        <v>0</v>
      </c>
      <c r="I468" s="474">
        <v>58441.87999999999</v>
      </c>
      <c r="J468" s="473">
        <v>0</v>
      </c>
      <c r="K468" s="474">
        <v>60127.520000000004</v>
      </c>
      <c r="L468" s="435"/>
      <c r="M468" s="473">
        <f>IFERROR(H468-S468,"")</f>
        <v>0</v>
      </c>
      <c r="N468" s="474">
        <f>IFERROR(I468-T468,"")</f>
        <v>0</v>
      </c>
      <c r="O468" s="473">
        <f>IFERROR(J468-U468,"")</f>
        <v>0</v>
      </c>
      <c r="P468" s="474">
        <f>IFERROR(K468-V468,"")</f>
        <v>0</v>
      </c>
      <c r="R468" s="472" t="s">
        <v>205</v>
      </c>
      <c r="S468" s="473">
        <v>0</v>
      </c>
      <c r="T468" s="474">
        <v>58441.87999999999</v>
      </c>
      <c r="U468" s="473">
        <v>0</v>
      </c>
      <c r="V468" s="474">
        <v>60127.520000000004</v>
      </c>
    </row>
    <row r="469" spans="1:22" ht="12" thickTop="1" x14ac:dyDescent="0.2">
      <c r="A469" s="475"/>
      <c r="B469" s="477"/>
      <c r="C469" s="476"/>
      <c r="D469" s="477"/>
      <c r="E469" s="476"/>
      <c r="F469" s="477"/>
      <c r="G469" s="476"/>
      <c r="H469" s="477"/>
      <c r="I469" s="476"/>
      <c r="J469" s="477"/>
      <c r="K469" s="476"/>
      <c r="L469" s="435"/>
      <c r="M469" s="477"/>
      <c r="N469" s="476"/>
      <c r="O469" s="477"/>
      <c r="P469" s="476"/>
      <c r="R469" s="475"/>
      <c r="S469" s="477"/>
      <c r="T469" s="476"/>
      <c r="U469" s="477"/>
      <c r="V469" s="476"/>
    </row>
    <row r="470" spans="1:22" ht="11.25" customHeight="1" x14ac:dyDescent="0.2">
      <c r="A470" s="495"/>
      <c r="B470" s="477"/>
      <c r="C470" s="476"/>
      <c r="D470" s="477"/>
      <c r="E470" s="476"/>
      <c r="F470" s="477"/>
      <c r="G470" s="476"/>
      <c r="H470" s="477"/>
      <c r="I470" s="476"/>
      <c r="J470" s="477"/>
      <c r="K470" s="476"/>
      <c r="L470" s="435"/>
      <c r="M470" s="477"/>
      <c r="N470" s="476"/>
      <c r="O470" s="477"/>
      <c r="P470" s="476"/>
      <c r="R470" s="495"/>
      <c r="S470" s="477"/>
      <c r="T470" s="476"/>
      <c r="U470" s="477"/>
      <c r="V470" s="476"/>
    </row>
    <row r="471" spans="1:22" ht="12.75" x14ac:dyDescent="0.2">
      <c r="A471" s="1547" t="s">
        <v>319</v>
      </c>
      <c r="B471" s="489"/>
      <c r="C471" s="488"/>
      <c r="D471" s="489"/>
      <c r="E471" s="488"/>
      <c r="F471" s="489"/>
      <c r="G471" s="488"/>
      <c r="H471" s="489"/>
      <c r="I471" s="488"/>
      <c r="J471" s="489"/>
      <c r="K471" s="488"/>
      <c r="L471" s="435" t="s">
        <v>143</v>
      </c>
      <c r="M471" s="489"/>
      <c r="N471" s="488"/>
      <c r="O471" s="489"/>
      <c r="P471" s="488"/>
      <c r="R471" s="1547" t="s">
        <v>319</v>
      </c>
      <c r="S471" s="489"/>
      <c r="T471" s="488"/>
      <c r="U471" s="489"/>
      <c r="V471" s="488"/>
    </row>
    <row r="472" spans="1:22" ht="11.25" customHeight="1" x14ac:dyDescent="0.2">
      <c r="A472" s="1548"/>
      <c r="B472" s="491"/>
      <c r="C472" s="490"/>
      <c r="D472" s="491"/>
      <c r="E472" s="490"/>
      <c r="F472" s="491"/>
      <c r="G472" s="490"/>
      <c r="H472" s="491"/>
      <c r="I472" s="490"/>
      <c r="J472" s="491"/>
      <c r="K472" s="490"/>
      <c r="L472" s="435"/>
      <c r="M472" s="491"/>
      <c r="N472" s="490"/>
      <c r="O472" s="491"/>
      <c r="P472" s="490"/>
      <c r="R472" s="1548"/>
      <c r="S472" s="491"/>
      <c r="T472" s="490"/>
      <c r="U472" s="491"/>
      <c r="V472" s="490"/>
    </row>
    <row r="473" spans="1:22" x14ac:dyDescent="0.2">
      <c r="A473" s="454" t="s">
        <v>300</v>
      </c>
      <c r="B473" s="487"/>
      <c r="C473" s="486"/>
      <c r="D473" s="487"/>
      <c r="E473" s="486"/>
      <c r="F473" s="487"/>
      <c r="G473" s="486"/>
      <c r="H473" s="487"/>
      <c r="I473" s="486"/>
      <c r="J473" s="487"/>
      <c r="K473" s="486"/>
      <c r="L473" s="435"/>
      <c r="M473" s="487"/>
      <c r="N473" s="486"/>
      <c r="O473" s="487"/>
      <c r="P473" s="486"/>
      <c r="R473" s="454" t="s">
        <v>300</v>
      </c>
      <c r="S473" s="487"/>
      <c r="T473" s="486"/>
      <c r="U473" s="487"/>
      <c r="V473" s="486"/>
    </row>
    <row r="474" spans="1:22" x14ac:dyDescent="0.2">
      <c r="A474" s="455" t="s">
        <v>301</v>
      </c>
      <c r="B474" s="456">
        <v>6.916666666666667</v>
      </c>
      <c r="C474" s="457">
        <f>SUM(C489,C504,C519,C534)</f>
        <v>472768.89624732209</v>
      </c>
      <c r="D474" s="456">
        <v>5.916666666666667</v>
      </c>
      <c r="E474" s="457">
        <f t="shared" ref="E474:E483" si="176">SUM(E489,E504,E519,E534)</f>
        <v>386475.230094617</v>
      </c>
      <c r="F474" s="456">
        <v>5.75</v>
      </c>
      <c r="G474" s="457">
        <f t="shared" ref="G474:G483" si="177">SUM(G489,G504,G519,G534)</f>
        <v>432860.91604900168</v>
      </c>
      <c r="H474" s="456">
        <v>5</v>
      </c>
      <c r="I474" s="457">
        <v>376011.64999999997</v>
      </c>
      <c r="J474" s="456">
        <v>5</v>
      </c>
      <c r="K474" s="457">
        <f>464731.91-56250</f>
        <v>408481.91</v>
      </c>
      <c r="L474" s="435"/>
      <c r="M474" s="456">
        <f t="shared" ref="M474:M483" si="178">IFERROR(H474-S474,"")</f>
        <v>0</v>
      </c>
      <c r="N474" s="457">
        <f t="shared" ref="N474:N483" si="179">IFERROR(I474-T474,"")</f>
        <v>0</v>
      </c>
      <c r="O474" s="456">
        <f t="shared" ref="O474:O483" si="180">IFERROR(J474-U474,"")</f>
        <v>0</v>
      </c>
      <c r="P474" s="457">
        <f t="shared" ref="P474:P483" si="181">IFERROR(K474-V474,"")</f>
        <v>0</v>
      </c>
      <c r="R474" s="455" t="s">
        <v>301</v>
      </c>
      <c r="S474" s="456">
        <v>5</v>
      </c>
      <c r="T474" s="457">
        <v>376011.64999999997</v>
      </c>
      <c r="U474" s="456">
        <v>5</v>
      </c>
      <c r="V474" s="457">
        <v>408481.91</v>
      </c>
    </row>
    <row r="475" spans="1:22" x14ac:dyDescent="0.2">
      <c r="A475" s="465" t="s">
        <v>302</v>
      </c>
      <c r="B475" s="461">
        <v>0</v>
      </c>
      <c r="C475" s="462">
        <f t="shared" ref="C475:C483" si="182">SUM(C490,C505,C520,C535)</f>
        <v>0</v>
      </c>
      <c r="D475" s="461">
        <v>0</v>
      </c>
      <c r="E475" s="462">
        <f t="shared" si="176"/>
        <v>0</v>
      </c>
      <c r="F475" s="461">
        <v>0</v>
      </c>
      <c r="G475" s="462">
        <f t="shared" si="177"/>
        <v>0</v>
      </c>
      <c r="H475" s="461">
        <v>0</v>
      </c>
      <c r="I475" s="462">
        <v>0</v>
      </c>
      <c r="J475" s="461">
        <v>0</v>
      </c>
      <c r="K475" s="462">
        <v>0</v>
      </c>
      <c r="L475" s="435"/>
      <c r="M475" s="461">
        <f t="shared" si="178"/>
        <v>0</v>
      </c>
      <c r="N475" s="462">
        <f t="shared" si="179"/>
        <v>0</v>
      </c>
      <c r="O475" s="461">
        <f t="shared" si="180"/>
        <v>0</v>
      </c>
      <c r="P475" s="462">
        <f t="shared" si="181"/>
        <v>0</v>
      </c>
      <c r="R475" s="465" t="s">
        <v>302</v>
      </c>
      <c r="S475" s="461">
        <v>0</v>
      </c>
      <c r="T475" s="462">
        <v>0</v>
      </c>
      <c r="U475" s="461">
        <v>0</v>
      </c>
      <c r="V475" s="462">
        <v>0</v>
      </c>
    </row>
    <row r="476" spans="1:22" x14ac:dyDescent="0.2">
      <c r="A476" s="460" t="s">
        <v>303</v>
      </c>
      <c r="B476" s="461">
        <v>0</v>
      </c>
      <c r="C476" s="462">
        <f t="shared" si="182"/>
        <v>0</v>
      </c>
      <c r="D476" s="461">
        <v>0</v>
      </c>
      <c r="E476" s="462">
        <f t="shared" si="176"/>
        <v>0</v>
      </c>
      <c r="F476" s="461">
        <v>0</v>
      </c>
      <c r="G476" s="462">
        <f t="shared" si="177"/>
        <v>0</v>
      </c>
      <c r="H476" s="461">
        <v>0</v>
      </c>
      <c r="I476" s="462">
        <v>0</v>
      </c>
      <c r="J476" s="461">
        <v>0</v>
      </c>
      <c r="K476" s="462">
        <v>0</v>
      </c>
      <c r="L476" s="435"/>
      <c r="M476" s="461">
        <f t="shared" si="178"/>
        <v>0</v>
      </c>
      <c r="N476" s="462">
        <f t="shared" si="179"/>
        <v>0</v>
      </c>
      <c r="O476" s="461">
        <f t="shared" si="180"/>
        <v>0</v>
      </c>
      <c r="P476" s="462">
        <f t="shared" si="181"/>
        <v>0</v>
      </c>
      <c r="R476" s="460" t="s">
        <v>303</v>
      </c>
      <c r="S476" s="461">
        <v>0</v>
      </c>
      <c r="T476" s="462">
        <v>0</v>
      </c>
      <c r="U476" s="461">
        <v>0</v>
      </c>
      <c r="V476" s="462">
        <v>0</v>
      </c>
    </row>
    <row r="477" spans="1:22" x14ac:dyDescent="0.2">
      <c r="A477" s="465" t="s">
        <v>304</v>
      </c>
      <c r="B477" s="461">
        <v>6</v>
      </c>
      <c r="C477" s="462">
        <f t="shared" si="182"/>
        <v>674967.75337017234</v>
      </c>
      <c r="D477" s="461">
        <v>5.5</v>
      </c>
      <c r="E477" s="462">
        <f t="shared" si="176"/>
        <v>714872.36800633697</v>
      </c>
      <c r="F477" s="461">
        <v>4.8333333333333339</v>
      </c>
      <c r="G477" s="462">
        <f t="shared" si="177"/>
        <v>730371.15736284899</v>
      </c>
      <c r="H477" s="461">
        <v>4</v>
      </c>
      <c r="I477" s="462">
        <v>753485.90999999992</v>
      </c>
      <c r="J477" s="461">
        <v>4</v>
      </c>
      <c r="K477" s="462">
        <v>794089.16999999993</v>
      </c>
      <c r="L477" s="435"/>
      <c r="M477" s="461">
        <f t="shared" si="178"/>
        <v>0</v>
      </c>
      <c r="N477" s="462">
        <f t="shared" si="179"/>
        <v>0</v>
      </c>
      <c r="O477" s="461">
        <f t="shared" si="180"/>
        <v>0</v>
      </c>
      <c r="P477" s="462">
        <f t="shared" si="181"/>
        <v>0</v>
      </c>
      <c r="R477" s="465" t="s">
        <v>304</v>
      </c>
      <c r="S477" s="461">
        <v>4</v>
      </c>
      <c r="T477" s="462">
        <v>753485.90999999992</v>
      </c>
      <c r="U477" s="461">
        <v>4</v>
      </c>
      <c r="V477" s="462">
        <v>794089.16999999993</v>
      </c>
    </row>
    <row r="478" spans="1:22" x14ac:dyDescent="0.2">
      <c r="A478" s="465" t="s">
        <v>305</v>
      </c>
      <c r="B478" s="461">
        <v>8.75</v>
      </c>
      <c r="C478" s="462">
        <f t="shared" si="182"/>
        <v>951237.36317654559</v>
      </c>
      <c r="D478" s="461">
        <v>9</v>
      </c>
      <c r="E478" s="462">
        <f t="shared" si="176"/>
        <v>1005957.3296116403</v>
      </c>
      <c r="F478" s="461">
        <v>9.9166666666666661</v>
      </c>
      <c r="G478" s="462">
        <f t="shared" si="177"/>
        <v>1117864.8691181194</v>
      </c>
      <c r="H478" s="461">
        <v>12</v>
      </c>
      <c r="I478" s="462">
        <v>1321070.5</v>
      </c>
      <c r="J478" s="461">
        <v>14</v>
      </c>
      <c r="K478" s="462">
        <v>1577937.1500000001</v>
      </c>
      <c r="L478" s="435"/>
      <c r="M478" s="461">
        <f t="shared" si="178"/>
        <v>0</v>
      </c>
      <c r="N478" s="462">
        <f t="shared" si="179"/>
        <v>0</v>
      </c>
      <c r="O478" s="461">
        <f t="shared" si="180"/>
        <v>0</v>
      </c>
      <c r="P478" s="462">
        <f t="shared" si="181"/>
        <v>0</v>
      </c>
      <c r="R478" s="465" t="s">
        <v>305</v>
      </c>
      <c r="S478" s="461">
        <v>12</v>
      </c>
      <c r="T478" s="462">
        <v>1321070.5</v>
      </c>
      <c r="U478" s="461">
        <v>14</v>
      </c>
      <c r="V478" s="462">
        <v>1577937.1500000001</v>
      </c>
    </row>
    <row r="479" spans="1:22" x14ac:dyDescent="0.2">
      <c r="A479" s="465" t="s">
        <v>306</v>
      </c>
      <c r="B479" s="461">
        <v>0</v>
      </c>
      <c r="C479" s="462">
        <f t="shared" si="182"/>
        <v>0</v>
      </c>
      <c r="D479" s="461">
        <v>0</v>
      </c>
      <c r="E479" s="462">
        <f t="shared" si="176"/>
        <v>0</v>
      </c>
      <c r="F479" s="461">
        <v>0</v>
      </c>
      <c r="G479" s="462">
        <f t="shared" si="177"/>
        <v>0</v>
      </c>
      <c r="H479" s="461">
        <v>2</v>
      </c>
      <c r="I479" s="462">
        <v>103352.59999999998</v>
      </c>
      <c r="J479" s="461">
        <v>2</v>
      </c>
      <c r="K479" s="462">
        <v>136243.79</v>
      </c>
      <c r="L479" s="435"/>
      <c r="M479" s="461">
        <f t="shared" si="178"/>
        <v>0</v>
      </c>
      <c r="N479" s="462">
        <f t="shared" si="179"/>
        <v>0</v>
      </c>
      <c r="O479" s="461">
        <f t="shared" si="180"/>
        <v>0</v>
      </c>
      <c r="P479" s="462">
        <f t="shared" si="181"/>
        <v>0</v>
      </c>
      <c r="R479" s="465" t="s">
        <v>306</v>
      </c>
      <c r="S479" s="461">
        <v>2</v>
      </c>
      <c r="T479" s="462">
        <v>103352.59999999998</v>
      </c>
      <c r="U479" s="461">
        <v>2</v>
      </c>
      <c r="V479" s="462">
        <v>136243.79</v>
      </c>
    </row>
    <row r="480" spans="1:22" x14ac:dyDescent="0.2">
      <c r="A480" s="465" t="s">
        <v>307</v>
      </c>
      <c r="B480" s="461">
        <v>7.5</v>
      </c>
      <c r="C480" s="462">
        <f t="shared" si="182"/>
        <v>438121.60833429929</v>
      </c>
      <c r="D480" s="461">
        <v>7</v>
      </c>
      <c r="E480" s="462">
        <f t="shared" si="176"/>
        <v>442187.89553618216</v>
      </c>
      <c r="F480" s="461">
        <v>7</v>
      </c>
      <c r="G480" s="462">
        <f t="shared" si="177"/>
        <v>405326.03912397526</v>
      </c>
      <c r="H480" s="461">
        <v>18</v>
      </c>
      <c r="I480" s="462">
        <v>532895.49999999977</v>
      </c>
      <c r="J480" s="461">
        <v>19</v>
      </c>
      <c r="K480" s="462">
        <v>647796.02</v>
      </c>
      <c r="L480" s="435"/>
      <c r="M480" s="461">
        <f t="shared" si="178"/>
        <v>0</v>
      </c>
      <c r="N480" s="462">
        <f t="shared" si="179"/>
        <v>0</v>
      </c>
      <c r="O480" s="461">
        <f t="shared" si="180"/>
        <v>0</v>
      </c>
      <c r="P480" s="462">
        <f t="shared" si="181"/>
        <v>0</v>
      </c>
      <c r="R480" s="465" t="s">
        <v>307</v>
      </c>
      <c r="S480" s="461">
        <v>18</v>
      </c>
      <c r="T480" s="462">
        <v>532895.49999999977</v>
      </c>
      <c r="U480" s="461">
        <v>19</v>
      </c>
      <c r="V480" s="462">
        <v>647796.02</v>
      </c>
    </row>
    <row r="481" spans="1:22" x14ac:dyDescent="0.2">
      <c r="A481" s="465" t="s">
        <v>308</v>
      </c>
      <c r="B481" s="461">
        <v>0</v>
      </c>
      <c r="C481" s="462">
        <f t="shared" si="182"/>
        <v>0</v>
      </c>
      <c r="D481" s="461">
        <v>0</v>
      </c>
      <c r="E481" s="462">
        <f t="shared" si="176"/>
        <v>0</v>
      </c>
      <c r="F481" s="461">
        <v>0</v>
      </c>
      <c r="G481" s="462">
        <f t="shared" si="177"/>
        <v>0</v>
      </c>
      <c r="H481" s="461">
        <v>0</v>
      </c>
      <c r="I481" s="462">
        <v>0</v>
      </c>
      <c r="J481" s="461">
        <v>0</v>
      </c>
      <c r="K481" s="462">
        <v>0</v>
      </c>
      <c r="L481" s="435"/>
      <c r="M481" s="461">
        <f t="shared" si="178"/>
        <v>0</v>
      </c>
      <c r="N481" s="462">
        <f t="shared" si="179"/>
        <v>0</v>
      </c>
      <c r="O481" s="461">
        <f t="shared" si="180"/>
        <v>0</v>
      </c>
      <c r="P481" s="462">
        <f t="shared" si="181"/>
        <v>0</v>
      </c>
      <c r="R481" s="465" t="s">
        <v>308</v>
      </c>
      <c r="S481" s="461">
        <v>0</v>
      </c>
      <c r="T481" s="462">
        <v>0</v>
      </c>
      <c r="U481" s="461">
        <v>0</v>
      </c>
      <c r="V481" s="462">
        <v>0</v>
      </c>
    </row>
    <row r="482" spans="1:22" x14ac:dyDescent="0.2">
      <c r="A482" s="465" t="s">
        <v>309</v>
      </c>
      <c r="B482" s="461">
        <v>0</v>
      </c>
      <c r="C482" s="462">
        <f t="shared" si="182"/>
        <v>0</v>
      </c>
      <c r="D482" s="461">
        <v>0</v>
      </c>
      <c r="E482" s="462">
        <f t="shared" si="176"/>
        <v>0</v>
      </c>
      <c r="F482" s="461">
        <v>0</v>
      </c>
      <c r="G482" s="462">
        <f t="shared" si="177"/>
        <v>0</v>
      </c>
      <c r="H482" s="461">
        <v>0</v>
      </c>
      <c r="I482" s="462">
        <v>0</v>
      </c>
      <c r="J482" s="461">
        <v>0</v>
      </c>
      <c r="K482" s="462">
        <v>0</v>
      </c>
      <c r="L482" s="435"/>
      <c r="M482" s="461">
        <f t="shared" si="178"/>
        <v>0</v>
      </c>
      <c r="N482" s="462">
        <f t="shared" si="179"/>
        <v>0</v>
      </c>
      <c r="O482" s="461">
        <f t="shared" si="180"/>
        <v>0</v>
      </c>
      <c r="P482" s="462">
        <f t="shared" si="181"/>
        <v>0</v>
      </c>
      <c r="R482" s="465" t="s">
        <v>309</v>
      </c>
      <c r="S482" s="461">
        <v>0</v>
      </c>
      <c r="T482" s="462">
        <v>0</v>
      </c>
      <c r="U482" s="461">
        <v>0</v>
      </c>
      <c r="V482" s="462">
        <v>0</v>
      </c>
    </row>
    <row r="483" spans="1:22" x14ac:dyDescent="0.2">
      <c r="A483" s="466" t="s">
        <v>310</v>
      </c>
      <c r="B483" s="461">
        <v>9</v>
      </c>
      <c r="C483" s="462">
        <f t="shared" si="182"/>
        <v>1515361.48523261</v>
      </c>
      <c r="D483" s="461">
        <v>9</v>
      </c>
      <c r="E483" s="462">
        <f t="shared" si="176"/>
        <v>1559542.0291351234</v>
      </c>
      <c r="F483" s="461">
        <v>9</v>
      </c>
      <c r="G483" s="462">
        <f t="shared" si="177"/>
        <v>1622621.4279013507</v>
      </c>
      <c r="H483" s="461">
        <v>9</v>
      </c>
      <c r="I483" s="492">
        <v>1627984.44</v>
      </c>
      <c r="J483" s="461">
        <v>9</v>
      </c>
      <c r="K483" s="492">
        <v>1678339.9800000004</v>
      </c>
      <c r="L483" s="435"/>
      <c r="M483" s="461">
        <f t="shared" si="178"/>
        <v>0</v>
      </c>
      <c r="N483" s="492">
        <f t="shared" si="179"/>
        <v>0</v>
      </c>
      <c r="O483" s="461">
        <f t="shared" si="180"/>
        <v>0</v>
      </c>
      <c r="P483" s="492">
        <f t="shared" si="181"/>
        <v>0</v>
      </c>
      <c r="R483" s="466" t="s">
        <v>310</v>
      </c>
      <c r="S483" s="461">
        <v>9</v>
      </c>
      <c r="T483" s="492">
        <v>1627984.44</v>
      </c>
      <c r="U483" s="461">
        <v>9</v>
      </c>
      <c r="V483" s="492">
        <v>1678339.9800000004</v>
      </c>
    </row>
    <row r="484" spans="1:22" ht="3" customHeight="1" x14ac:dyDescent="0.2">
      <c r="A484" s="469"/>
      <c r="B484" s="470"/>
      <c r="C484" s="471"/>
      <c r="D484" s="470"/>
      <c r="E484" s="471"/>
      <c r="F484" s="470"/>
      <c r="G484" s="471"/>
      <c r="H484" s="470"/>
      <c r="I484" s="471"/>
      <c r="J484" s="470"/>
      <c r="K484" s="471"/>
      <c r="L484" s="435"/>
      <c r="M484" s="470"/>
      <c r="N484" s="471"/>
      <c r="O484" s="470"/>
      <c r="P484" s="471"/>
      <c r="R484" s="469"/>
      <c r="S484" s="470"/>
      <c r="T484" s="471"/>
      <c r="U484" s="470"/>
      <c r="V484" s="471"/>
    </row>
    <row r="485" spans="1:22" ht="12" thickBot="1" x14ac:dyDescent="0.25">
      <c r="A485" s="472" t="s">
        <v>205</v>
      </c>
      <c r="B485" s="473">
        <f t="shared" ref="B485:G485" si="183">SUM(B474:B484)</f>
        <v>38.166666666666671</v>
      </c>
      <c r="C485" s="474">
        <f t="shared" si="183"/>
        <v>4052457.1063609496</v>
      </c>
      <c r="D485" s="473">
        <f t="shared" si="183"/>
        <v>36.416666666666671</v>
      </c>
      <c r="E485" s="474">
        <f t="shared" si="183"/>
        <v>4109034.8523838995</v>
      </c>
      <c r="F485" s="473">
        <f t="shared" si="183"/>
        <v>36.5</v>
      </c>
      <c r="G485" s="474">
        <f t="shared" si="183"/>
        <v>4309044.4095552955</v>
      </c>
      <c r="H485" s="473">
        <v>50</v>
      </c>
      <c r="I485" s="474">
        <v>4714800.5999999996</v>
      </c>
      <c r="J485" s="473">
        <v>53</v>
      </c>
      <c r="K485" s="474">
        <v>5242888.0200000005</v>
      </c>
      <c r="L485" s="435"/>
      <c r="M485" s="473">
        <f>IFERROR(H485-S485,"")</f>
        <v>0</v>
      </c>
      <c r="N485" s="474">
        <f>IFERROR(I485-T485,"")</f>
        <v>0</v>
      </c>
      <c r="O485" s="473">
        <f>IFERROR(J485-U485,"")</f>
        <v>0</v>
      </c>
      <c r="P485" s="474">
        <f>IFERROR(K485-V485,"")</f>
        <v>0</v>
      </c>
      <c r="R485" s="472" t="s">
        <v>205</v>
      </c>
      <c r="S485" s="473">
        <v>50</v>
      </c>
      <c r="T485" s="474">
        <v>4714800.5999999996</v>
      </c>
      <c r="U485" s="473">
        <v>53</v>
      </c>
      <c r="V485" s="474">
        <v>5242888.0200000005</v>
      </c>
    </row>
    <row r="486" spans="1:22" ht="12" thickTop="1" x14ac:dyDescent="0.2">
      <c r="A486" s="475"/>
      <c r="B486" s="477"/>
      <c r="C486" s="476"/>
      <c r="D486" s="477"/>
      <c r="E486" s="476"/>
      <c r="F486" s="477"/>
      <c r="G486" s="476"/>
      <c r="H486" s="477"/>
      <c r="I486" s="476"/>
      <c r="J486" s="477"/>
      <c r="K486" s="476"/>
      <c r="L486" s="435"/>
      <c r="M486" s="477"/>
      <c r="N486" s="476"/>
      <c r="O486" s="477"/>
      <c r="P486" s="476"/>
      <c r="R486" s="475"/>
      <c r="S486" s="477"/>
      <c r="T486" s="476"/>
      <c r="U486" s="477"/>
      <c r="V486" s="476"/>
    </row>
    <row r="487" spans="1:22" x14ac:dyDescent="0.2">
      <c r="A487" s="476"/>
      <c r="B487" s="477"/>
      <c r="C487" s="476"/>
      <c r="D487" s="477"/>
      <c r="E487" s="476"/>
      <c r="F487" s="477"/>
      <c r="G487" s="476"/>
      <c r="H487" s="477"/>
      <c r="I487" s="476"/>
      <c r="J487" s="477"/>
      <c r="K487" s="476"/>
      <c r="L487" s="435"/>
      <c r="M487" s="477"/>
      <c r="N487" s="476"/>
      <c r="O487" s="477"/>
      <c r="P487" s="476"/>
      <c r="R487" s="476"/>
      <c r="S487" s="477"/>
      <c r="T487" s="476"/>
      <c r="U487" s="477"/>
      <c r="V487" s="476"/>
    </row>
    <row r="488" spans="1:22" x14ac:dyDescent="0.2">
      <c r="A488" s="480" t="s">
        <v>311</v>
      </c>
      <c r="B488" s="482"/>
      <c r="C488" s="481"/>
      <c r="D488" s="482"/>
      <c r="E488" s="481"/>
      <c r="F488" s="482"/>
      <c r="G488" s="481"/>
      <c r="H488" s="482"/>
      <c r="I488" s="481"/>
      <c r="J488" s="482"/>
      <c r="K488" s="481"/>
      <c r="L488" s="435"/>
      <c r="M488" s="482"/>
      <c r="N488" s="481"/>
      <c r="O488" s="482"/>
      <c r="P488" s="481"/>
      <c r="R488" s="480" t="s">
        <v>311</v>
      </c>
      <c r="S488" s="482"/>
      <c r="T488" s="481"/>
      <c r="U488" s="482"/>
      <c r="V488" s="481"/>
    </row>
    <row r="489" spans="1:22" x14ac:dyDescent="0.2">
      <c r="A489" s="455" t="s">
        <v>301</v>
      </c>
      <c r="B489" s="456">
        <v>6.916666666666667</v>
      </c>
      <c r="C489" s="457">
        <v>410097.66569659772</v>
      </c>
      <c r="D489" s="456">
        <v>5.916666666666667</v>
      </c>
      <c r="E489" s="457">
        <v>343068.685270346</v>
      </c>
      <c r="F489" s="456">
        <v>5.75</v>
      </c>
      <c r="G489" s="457">
        <v>377358.09234721458</v>
      </c>
      <c r="H489" s="456">
        <v>5</v>
      </c>
      <c r="I489" s="457">
        <v>321716.46999999997</v>
      </c>
      <c r="J489" s="456">
        <v>5</v>
      </c>
      <c r="K489" s="457">
        <f>397379.97-56250</f>
        <v>341129.97</v>
      </c>
      <c r="L489" s="435"/>
      <c r="M489" s="456">
        <f t="shared" ref="M489:M498" si="184">IFERROR(H489-S489,"")</f>
        <v>0</v>
      </c>
      <c r="N489" s="457">
        <f t="shared" ref="N489:N498" si="185">IFERROR(I489-T489,"")</f>
        <v>0</v>
      </c>
      <c r="O489" s="456">
        <f t="shared" ref="O489:O498" si="186">IFERROR(J489-U489,"")</f>
        <v>0</v>
      </c>
      <c r="P489" s="457">
        <f t="shared" ref="P489:P498" si="187">IFERROR(K489-V489,"")</f>
        <v>0</v>
      </c>
      <c r="R489" s="455" t="s">
        <v>301</v>
      </c>
      <c r="S489" s="456">
        <v>5</v>
      </c>
      <c r="T489" s="457">
        <v>321716.46999999997</v>
      </c>
      <c r="U489" s="456">
        <v>5</v>
      </c>
      <c r="V489" s="457">
        <v>341129.97</v>
      </c>
    </row>
    <row r="490" spans="1:22" x14ac:dyDescent="0.2">
      <c r="A490" s="465" t="s">
        <v>302</v>
      </c>
      <c r="B490" s="461">
        <v>0</v>
      </c>
      <c r="C490" s="462">
        <v>0</v>
      </c>
      <c r="D490" s="461">
        <v>0</v>
      </c>
      <c r="E490" s="462">
        <v>0</v>
      </c>
      <c r="F490" s="461">
        <v>0</v>
      </c>
      <c r="G490" s="462">
        <v>0</v>
      </c>
      <c r="H490" s="461">
        <v>0</v>
      </c>
      <c r="I490" s="462">
        <v>0</v>
      </c>
      <c r="J490" s="461">
        <v>0</v>
      </c>
      <c r="K490" s="462">
        <v>0</v>
      </c>
      <c r="L490" s="435"/>
      <c r="M490" s="461">
        <f t="shared" si="184"/>
        <v>0</v>
      </c>
      <c r="N490" s="462">
        <f t="shared" si="185"/>
        <v>0</v>
      </c>
      <c r="O490" s="461">
        <f t="shared" si="186"/>
        <v>0</v>
      </c>
      <c r="P490" s="462">
        <f t="shared" si="187"/>
        <v>0</v>
      </c>
      <c r="R490" s="465" t="s">
        <v>302</v>
      </c>
      <c r="S490" s="461">
        <v>0</v>
      </c>
      <c r="T490" s="462">
        <v>0</v>
      </c>
      <c r="U490" s="461">
        <v>0</v>
      </c>
      <c r="V490" s="462">
        <v>0</v>
      </c>
    </row>
    <row r="491" spans="1:22" x14ac:dyDescent="0.2">
      <c r="A491" s="460" t="s">
        <v>303</v>
      </c>
      <c r="B491" s="461">
        <v>0</v>
      </c>
      <c r="C491" s="462">
        <v>0</v>
      </c>
      <c r="D491" s="461">
        <v>0</v>
      </c>
      <c r="E491" s="462">
        <v>0</v>
      </c>
      <c r="F491" s="461">
        <v>0</v>
      </c>
      <c r="G491" s="462">
        <v>0</v>
      </c>
      <c r="H491" s="461">
        <v>0</v>
      </c>
      <c r="I491" s="462">
        <v>0</v>
      </c>
      <c r="J491" s="461">
        <v>0</v>
      </c>
      <c r="K491" s="462">
        <v>0</v>
      </c>
      <c r="L491" s="435"/>
      <c r="M491" s="461">
        <f t="shared" si="184"/>
        <v>0</v>
      </c>
      <c r="N491" s="462">
        <f t="shared" si="185"/>
        <v>0</v>
      </c>
      <c r="O491" s="461">
        <f t="shared" si="186"/>
        <v>0</v>
      </c>
      <c r="P491" s="462">
        <f t="shared" si="187"/>
        <v>0</v>
      </c>
      <c r="R491" s="460" t="s">
        <v>303</v>
      </c>
      <c r="S491" s="461">
        <v>0</v>
      </c>
      <c r="T491" s="462">
        <v>0</v>
      </c>
      <c r="U491" s="461">
        <v>0</v>
      </c>
      <c r="V491" s="462">
        <v>0</v>
      </c>
    </row>
    <row r="492" spans="1:22" x14ac:dyDescent="0.2">
      <c r="A492" s="465" t="s">
        <v>304</v>
      </c>
      <c r="B492" s="461">
        <v>4.6533333333333333</v>
      </c>
      <c r="C492" s="462">
        <v>373968.3673925015</v>
      </c>
      <c r="D492" s="461">
        <v>4.5708333333333337</v>
      </c>
      <c r="E492" s="462">
        <v>385167.96150961198</v>
      </c>
      <c r="F492" s="461">
        <v>4.4916666666666663</v>
      </c>
      <c r="G492" s="462">
        <v>382679.81748957862</v>
      </c>
      <c r="H492" s="461">
        <v>4.1099999999999994</v>
      </c>
      <c r="I492" s="462">
        <v>411253.08</v>
      </c>
      <c r="J492" s="461">
        <v>4.1099999999999994</v>
      </c>
      <c r="K492" s="462">
        <v>436918.76</v>
      </c>
      <c r="L492" s="435"/>
      <c r="M492" s="461">
        <f t="shared" si="184"/>
        <v>0</v>
      </c>
      <c r="N492" s="462">
        <f t="shared" si="185"/>
        <v>0</v>
      </c>
      <c r="O492" s="461">
        <f t="shared" si="186"/>
        <v>0</v>
      </c>
      <c r="P492" s="462">
        <f t="shared" si="187"/>
        <v>0</v>
      </c>
      <c r="R492" s="465" t="s">
        <v>304</v>
      </c>
      <c r="S492" s="461">
        <v>4.1099999999999994</v>
      </c>
      <c r="T492" s="462">
        <v>411253.08</v>
      </c>
      <c r="U492" s="461">
        <v>4.1099999999999994</v>
      </c>
      <c r="V492" s="462">
        <v>436918.76</v>
      </c>
    </row>
    <row r="493" spans="1:22" x14ac:dyDescent="0.2">
      <c r="A493" s="465" t="s">
        <v>305</v>
      </c>
      <c r="B493" s="461">
        <v>7.1341666666666663</v>
      </c>
      <c r="C493" s="462">
        <v>560313.85886504664</v>
      </c>
      <c r="D493" s="461">
        <v>7.7658333333333331</v>
      </c>
      <c r="E493" s="462">
        <v>615769.06337101152</v>
      </c>
      <c r="F493" s="461">
        <v>8.4366666666666674</v>
      </c>
      <c r="G493" s="462">
        <v>665027.65899186407</v>
      </c>
      <c r="H493" s="461">
        <v>9.5500000000000007</v>
      </c>
      <c r="I493" s="462">
        <v>746089.1100000001</v>
      </c>
      <c r="J493" s="461">
        <v>11.55</v>
      </c>
      <c r="K493" s="462">
        <v>961261.56</v>
      </c>
      <c r="L493" s="435"/>
      <c r="M493" s="461">
        <f t="shared" si="184"/>
        <v>0</v>
      </c>
      <c r="N493" s="462">
        <f t="shared" si="185"/>
        <v>0</v>
      </c>
      <c r="O493" s="461">
        <f t="shared" si="186"/>
        <v>0</v>
      </c>
      <c r="P493" s="462">
        <f t="shared" si="187"/>
        <v>0</v>
      </c>
      <c r="R493" s="465" t="s">
        <v>305</v>
      </c>
      <c r="S493" s="461">
        <v>9.5500000000000007</v>
      </c>
      <c r="T493" s="462">
        <v>746089.1100000001</v>
      </c>
      <c r="U493" s="461">
        <v>11.55</v>
      </c>
      <c r="V493" s="462">
        <v>961261.56</v>
      </c>
    </row>
    <row r="494" spans="1:22" x14ac:dyDescent="0.2">
      <c r="A494" s="465" t="s">
        <v>306</v>
      </c>
      <c r="B494" s="461">
        <v>0</v>
      </c>
      <c r="C494" s="462">
        <v>0</v>
      </c>
      <c r="D494" s="461">
        <v>0</v>
      </c>
      <c r="E494" s="462">
        <v>0</v>
      </c>
      <c r="F494" s="461">
        <v>0</v>
      </c>
      <c r="G494" s="462">
        <v>0</v>
      </c>
      <c r="H494" s="461">
        <v>2</v>
      </c>
      <c r="I494" s="462">
        <v>83679.00999999998</v>
      </c>
      <c r="J494" s="461">
        <v>2</v>
      </c>
      <c r="K494" s="462">
        <v>113599.74</v>
      </c>
      <c r="L494" s="435"/>
      <c r="M494" s="461">
        <f t="shared" si="184"/>
        <v>0</v>
      </c>
      <c r="N494" s="462">
        <f t="shared" si="185"/>
        <v>0</v>
      </c>
      <c r="O494" s="461">
        <f t="shared" si="186"/>
        <v>0</v>
      </c>
      <c r="P494" s="462">
        <f t="shared" si="187"/>
        <v>0</v>
      </c>
      <c r="R494" s="465" t="s">
        <v>306</v>
      </c>
      <c r="S494" s="461">
        <v>2</v>
      </c>
      <c r="T494" s="462">
        <v>83679.00999999998</v>
      </c>
      <c r="U494" s="461">
        <v>2</v>
      </c>
      <c r="V494" s="462">
        <v>113599.74</v>
      </c>
    </row>
    <row r="495" spans="1:22" x14ac:dyDescent="0.2">
      <c r="A495" s="465" t="s">
        <v>307</v>
      </c>
      <c r="B495" s="461">
        <v>4.9783333333333335</v>
      </c>
      <c r="C495" s="462">
        <v>284142.1333531753</v>
      </c>
      <c r="D495" s="461">
        <v>4.666666666666667</v>
      </c>
      <c r="E495" s="462">
        <v>280905.72964446555</v>
      </c>
      <c r="F495" s="461">
        <v>3.6033333333333344</v>
      </c>
      <c r="G495" s="462">
        <v>232131.07223342184</v>
      </c>
      <c r="H495" s="461">
        <v>4.49</v>
      </c>
      <c r="I495" s="462">
        <v>241238.64999999979</v>
      </c>
      <c r="J495" s="461">
        <v>5.49</v>
      </c>
      <c r="K495" s="462">
        <v>332720.55000000005</v>
      </c>
      <c r="L495" s="435"/>
      <c r="M495" s="461">
        <f t="shared" si="184"/>
        <v>0</v>
      </c>
      <c r="N495" s="462">
        <f t="shared" si="185"/>
        <v>0</v>
      </c>
      <c r="O495" s="461">
        <f t="shared" si="186"/>
        <v>0</v>
      </c>
      <c r="P495" s="462">
        <f t="shared" si="187"/>
        <v>0</v>
      </c>
      <c r="R495" s="465" t="s">
        <v>307</v>
      </c>
      <c r="S495" s="461">
        <v>4.49</v>
      </c>
      <c r="T495" s="462">
        <v>241238.64999999979</v>
      </c>
      <c r="U495" s="461">
        <v>5.49</v>
      </c>
      <c r="V495" s="462">
        <v>332720.55000000005</v>
      </c>
    </row>
    <row r="496" spans="1:22" x14ac:dyDescent="0.2">
      <c r="A496" s="465" t="s">
        <v>308</v>
      </c>
      <c r="B496" s="461">
        <v>0</v>
      </c>
      <c r="C496" s="462">
        <v>0</v>
      </c>
      <c r="D496" s="461">
        <v>0</v>
      </c>
      <c r="E496" s="462">
        <v>0</v>
      </c>
      <c r="F496" s="461">
        <v>0</v>
      </c>
      <c r="G496" s="462">
        <v>0</v>
      </c>
      <c r="H496" s="461">
        <v>0</v>
      </c>
      <c r="I496" s="462">
        <v>0</v>
      </c>
      <c r="J496" s="461">
        <v>0</v>
      </c>
      <c r="K496" s="462">
        <v>0</v>
      </c>
      <c r="L496" s="435"/>
      <c r="M496" s="461">
        <f t="shared" si="184"/>
        <v>0</v>
      </c>
      <c r="N496" s="462">
        <f t="shared" si="185"/>
        <v>0</v>
      </c>
      <c r="O496" s="461">
        <f t="shared" si="186"/>
        <v>0</v>
      </c>
      <c r="P496" s="462">
        <f t="shared" si="187"/>
        <v>0</v>
      </c>
      <c r="R496" s="465" t="s">
        <v>308</v>
      </c>
      <c r="S496" s="461">
        <v>0</v>
      </c>
      <c r="T496" s="462">
        <v>0</v>
      </c>
      <c r="U496" s="461">
        <v>0</v>
      </c>
      <c r="V496" s="462">
        <v>0</v>
      </c>
    </row>
    <row r="497" spans="1:22" x14ac:dyDescent="0.2">
      <c r="A497" s="465" t="s">
        <v>309</v>
      </c>
      <c r="B497" s="461">
        <v>0</v>
      </c>
      <c r="C497" s="462">
        <v>0</v>
      </c>
      <c r="D497" s="461">
        <v>0</v>
      </c>
      <c r="E497" s="462">
        <v>0</v>
      </c>
      <c r="F497" s="461">
        <v>0</v>
      </c>
      <c r="G497" s="462">
        <v>0</v>
      </c>
      <c r="H497" s="461">
        <v>0</v>
      </c>
      <c r="I497" s="462">
        <v>0</v>
      </c>
      <c r="J497" s="461">
        <v>0</v>
      </c>
      <c r="K497" s="462">
        <v>0</v>
      </c>
      <c r="L497" s="435"/>
      <c r="M497" s="461">
        <f t="shared" si="184"/>
        <v>0</v>
      </c>
      <c r="N497" s="462">
        <f t="shared" si="185"/>
        <v>0</v>
      </c>
      <c r="O497" s="461">
        <f t="shared" si="186"/>
        <v>0</v>
      </c>
      <c r="P497" s="462">
        <f t="shared" si="187"/>
        <v>0</v>
      </c>
      <c r="R497" s="465" t="s">
        <v>309</v>
      </c>
      <c r="S497" s="461">
        <v>0</v>
      </c>
      <c r="T497" s="462">
        <v>0</v>
      </c>
      <c r="U497" s="461">
        <v>0</v>
      </c>
      <c r="V497" s="462">
        <v>0</v>
      </c>
    </row>
    <row r="498" spans="1:22" x14ac:dyDescent="0.2">
      <c r="A498" s="466" t="s">
        <v>310</v>
      </c>
      <c r="B498" s="461">
        <v>8.745000000000001</v>
      </c>
      <c r="C498" s="462">
        <v>761663.47111320519</v>
      </c>
      <c r="D498" s="461">
        <v>8.6883333333333344</v>
      </c>
      <c r="E498" s="462">
        <v>785644.4207256207</v>
      </c>
      <c r="F498" s="461">
        <v>8.5616666666666656</v>
      </c>
      <c r="G498" s="462">
        <v>783665.26471869997</v>
      </c>
      <c r="H498" s="461">
        <v>8.7199999999999989</v>
      </c>
      <c r="I498" s="492">
        <v>817178.77</v>
      </c>
      <c r="J498" s="461">
        <v>8.7199999999999989</v>
      </c>
      <c r="K498" s="492">
        <v>841417.98000000021</v>
      </c>
      <c r="L498" s="435"/>
      <c r="M498" s="461">
        <f t="shared" si="184"/>
        <v>0</v>
      </c>
      <c r="N498" s="492">
        <f t="shared" si="185"/>
        <v>0</v>
      </c>
      <c r="O498" s="461">
        <f t="shared" si="186"/>
        <v>0</v>
      </c>
      <c r="P498" s="492">
        <f t="shared" si="187"/>
        <v>0</v>
      </c>
      <c r="R498" s="466" t="s">
        <v>310</v>
      </c>
      <c r="S498" s="461">
        <v>8.7199999999999989</v>
      </c>
      <c r="T498" s="492">
        <v>817178.77</v>
      </c>
      <c r="U498" s="461">
        <v>8.7199999999999989</v>
      </c>
      <c r="V498" s="492">
        <v>841417.98000000021</v>
      </c>
    </row>
    <row r="499" spans="1:22" ht="3" customHeight="1" x14ac:dyDescent="0.2">
      <c r="A499" s="469"/>
      <c r="B499" s="470"/>
      <c r="C499" s="471"/>
      <c r="D499" s="470"/>
      <c r="E499" s="471"/>
      <c r="F499" s="470"/>
      <c r="G499" s="471"/>
      <c r="H499" s="470"/>
      <c r="I499" s="471"/>
      <c r="J499" s="470"/>
      <c r="K499" s="471"/>
      <c r="L499" s="435"/>
      <c r="M499" s="470"/>
      <c r="N499" s="471"/>
      <c r="O499" s="470"/>
      <c r="P499" s="471"/>
      <c r="R499" s="469"/>
      <c r="S499" s="470"/>
      <c r="T499" s="471"/>
      <c r="U499" s="470"/>
      <c r="V499" s="471"/>
    </row>
    <row r="500" spans="1:22" ht="12" thickBot="1" x14ac:dyDescent="0.25">
      <c r="A500" s="472" t="s">
        <v>205</v>
      </c>
      <c r="B500" s="473">
        <f t="shared" ref="B500:G500" si="188">SUM(B489:B499)</f>
        <v>32.427499999999995</v>
      </c>
      <c r="C500" s="474">
        <f t="shared" si="188"/>
        <v>2390185.4964205264</v>
      </c>
      <c r="D500" s="473">
        <f t="shared" si="188"/>
        <v>31.608333333333334</v>
      </c>
      <c r="E500" s="474">
        <f t="shared" si="188"/>
        <v>2410555.8605210558</v>
      </c>
      <c r="F500" s="473">
        <f t="shared" si="188"/>
        <v>30.843333333333334</v>
      </c>
      <c r="G500" s="474">
        <f t="shared" si="188"/>
        <v>2440861.9057807792</v>
      </c>
      <c r="H500" s="473">
        <v>33.869999999999997</v>
      </c>
      <c r="I500" s="474">
        <v>2621155.09</v>
      </c>
      <c r="J500" s="473">
        <v>36.869999999999997</v>
      </c>
      <c r="K500" s="474">
        <v>3027048.5600000005</v>
      </c>
      <c r="L500" s="435"/>
      <c r="M500" s="473">
        <f>IFERROR(H500-S500,"")</f>
        <v>0</v>
      </c>
      <c r="N500" s="474">
        <f>IFERROR(I500-T500,"")</f>
        <v>0</v>
      </c>
      <c r="O500" s="473">
        <f>IFERROR(J500-U500,"")</f>
        <v>0</v>
      </c>
      <c r="P500" s="474">
        <f>IFERROR(K500-V500,"")</f>
        <v>0</v>
      </c>
      <c r="R500" s="472" t="s">
        <v>205</v>
      </c>
      <c r="S500" s="473">
        <v>33.869999999999997</v>
      </c>
      <c r="T500" s="474">
        <v>2621155.09</v>
      </c>
      <c r="U500" s="473">
        <v>36.869999999999997</v>
      </c>
      <c r="V500" s="474">
        <v>3027048.5600000005</v>
      </c>
    </row>
    <row r="501" spans="1:22" ht="12" thickTop="1" x14ac:dyDescent="0.2">
      <c r="A501" s="475"/>
      <c r="B501" s="477"/>
      <c r="C501" s="476"/>
      <c r="D501" s="477"/>
      <c r="E501" s="476"/>
      <c r="F501" s="477"/>
      <c r="G501" s="476"/>
      <c r="H501" s="477"/>
      <c r="I501" s="476"/>
      <c r="J501" s="477"/>
      <c r="K501" s="476"/>
      <c r="L501" s="435"/>
      <c r="M501" s="477"/>
      <c r="N501" s="476"/>
      <c r="O501" s="477"/>
      <c r="P501" s="476"/>
      <c r="R501" s="475"/>
      <c r="S501" s="477"/>
      <c r="T501" s="476"/>
      <c r="U501" s="477"/>
      <c r="V501" s="476"/>
    </row>
    <row r="502" spans="1:22" ht="12.75" x14ac:dyDescent="0.2">
      <c r="A502" s="476"/>
      <c r="B502" s="493"/>
      <c r="C502" s="483"/>
      <c r="D502" s="493"/>
      <c r="E502" s="483"/>
      <c r="F502" s="493"/>
      <c r="G502" s="483"/>
      <c r="H502" s="493"/>
      <c r="I502" s="494"/>
      <c r="J502" s="493"/>
      <c r="K502" s="494"/>
      <c r="L502" s="435"/>
      <c r="M502" s="493"/>
      <c r="N502" s="494"/>
      <c r="O502" s="493"/>
      <c r="P502" s="494"/>
      <c r="R502" s="476"/>
      <c r="S502" s="493"/>
      <c r="T502" s="494"/>
      <c r="U502" s="493"/>
      <c r="V502" s="494"/>
    </row>
    <row r="503" spans="1:22" x14ac:dyDescent="0.2">
      <c r="A503" s="485" t="s">
        <v>312</v>
      </c>
      <c r="B503" s="487"/>
      <c r="C503" s="486"/>
      <c r="D503" s="487"/>
      <c r="E503" s="486"/>
      <c r="F503" s="487"/>
      <c r="G503" s="486"/>
      <c r="H503" s="487"/>
      <c r="I503" s="486"/>
      <c r="J503" s="487"/>
      <c r="K503" s="486"/>
      <c r="L503" s="435"/>
      <c r="M503" s="487"/>
      <c r="N503" s="486"/>
      <c r="O503" s="487"/>
      <c r="P503" s="486"/>
      <c r="R503" s="485" t="s">
        <v>312</v>
      </c>
      <c r="S503" s="487"/>
      <c r="T503" s="486"/>
      <c r="U503" s="487"/>
      <c r="V503" s="486"/>
    </row>
    <row r="504" spans="1:22" x14ac:dyDescent="0.2">
      <c r="A504" s="455" t="s">
        <v>301</v>
      </c>
      <c r="B504" s="456">
        <v>0</v>
      </c>
      <c r="C504" s="457">
        <v>62671.230550724365</v>
      </c>
      <c r="D504" s="456">
        <v>0</v>
      </c>
      <c r="E504" s="457">
        <v>43406.544824270968</v>
      </c>
      <c r="F504" s="456">
        <v>0</v>
      </c>
      <c r="G504" s="457">
        <v>55502.823701787078</v>
      </c>
      <c r="H504" s="456">
        <v>0</v>
      </c>
      <c r="I504" s="457">
        <v>54295.180000000008</v>
      </c>
      <c r="J504" s="456">
        <v>0</v>
      </c>
      <c r="K504" s="457">
        <v>67351.94</v>
      </c>
      <c r="L504" s="435"/>
      <c r="M504" s="456">
        <f t="shared" ref="M504:M513" si="189">IFERROR(H504-S504,"")</f>
        <v>0</v>
      </c>
      <c r="N504" s="457">
        <f t="shared" ref="N504:N513" si="190">IFERROR(I504-T504,"")</f>
        <v>0</v>
      </c>
      <c r="O504" s="456">
        <f t="shared" ref="O504:O513" si="191">IFERROR(J504-U504,"")</f>
        <v>0</v>
      </c>
      <c r="P504" s="457">
        <f t="shared" ref="P504:P513" si="192">IFERROR(K504-V504,"")</f>
        <v>0</v>
      </c>
      <c r="R504" s="455" t="s">
        <v>301</v>
      </c>
      <c r="S504" s="456">
        <v>0</v>
      </c>
      <c r="T504" s="457">
        <v>54295.180000000008</v>
      </c>
      <c r="U504" s="456">
        <v>0</v>
      </c>
      <c r="V504" s="457">
        <v>67351.94</v>
      </c>
    </row>
    <row r="505" spans="1:22" x14ac:dyDescent="0.2">
      <c r="A505" s="465" t="s">
        <v>302</v>
      </c>
      <c r="B505" s="461">
        <v>0</v>
      </c>
      <c r="C505" s="462">
        <v>0</v>
      </c>
      <c r="D505" s="461">
        <v>0</v>
      </c>
      <c r="E505" s="462">
        <v>0</v>
      </c>
      <c r="F505" s="461">
        <v>0</v>
      </c>
      <c r="G505" s="462">
        <v>0</v>
      </c>
      <c r="H505" s="461">
        <v>0</v>
      </c>
      <c r="I505" s="462">
        <v>0</v>
      </c>
      <c r="J505" s="461">
        <v>0</v>
      </c>
      <c r="K505" s="462">
        <v>0</v>
      </c>
      <c r="L505" s="435"/>
      <c r="M505" s="461">
        <f t="shared" si="189"/>
        <v>0</v>
      </c>
      <c r="N505" s="462">
        <f t="shared" si="190"/>
        <v>0</v>
      </c>
      <c r="O505" s="461">
        <f t="shared" si="191"/>
        <v>0</v>
      </c>
      <c r="P505" s="462">
        <f t="shared" si="192"/>
        <v>0</v>
      </c>
      <c r="R505" s="465" t="s">
        <v>302</v>
      </c>
      <c r="S505" s="461">
        <v>0</v>
      </c>
      <c r="T505" s="462">
        <v>0</v>
      </c>
      <c r="U505" s="461">
        <v>0</v>
      </c>
      <c r="V505" s="462">
        <v>0</v>
      </c>
    </row>
    <row r="506" spans="1:22" x14ac:dyDescent="0.2">
      <c r="A506" s="460" t="s">
        <v>303</v>
      </c>
      <c r="B506" s="461">
        <v>0</v>
      </c>
      <c r="C506" s="462">
        <v>0</v>
      </c>
      <c r="D506" s="461">
        <v>0</v>
      </c>
      <c r="E506" s="462">
        <v>0</v>
      </c>
      <c r="F506" s="461">
        <v>0</v>
      </c>
      <c r="G506" s="462">
        <v>0</v>
      </c>
      <c r="H506" s="461">
        <v>0</v>
      </c>
      <c r="I506" s="462">
        <v>0</v>
      </c>
      <c r="J506" s="461">
        <v>0</v>
      </c>
      <c r="K506" s="462">
        <v>0</v>
      </c>
      <c r="L506" s="435"/>
      <c r="M506" s="461">
        <f t="shared" si="189"/>
        <v>0</v>
      </c>
      <c r="N506" s="462">
        <f t="shared" si="190"/>
        <v>0</v>
      </c>
      <c r="O506" s="461">
        <f t="shared" si="191"/>
        <v>0</v>
      </c>
      <c r="P506" s="462">
        <f t="shared" si="192"/>
        <v>0</v>
      </c>
      <c r="R506" s="460" t="s">
        <v>303</v>
      </c>
      <c r="S506" s="461">
        <v>0</v>
      </c>
      <c r="T506" s="462">
        <v>0</v>
      </c>
      <c r="U506" s="461">
        <v>0</v>
      </c>
      <c r="V506" s="462">
        <v>0</v>
      </c>
    </row>
    <row r="507" spans="1:22" x14ac:dyDescent="0.2">
      <c r="A507" s="465" t="s">
        <v>304</v>
      </c>
      <c r="B507" s="461">
        <v>0</v>
      </c>
      <c r="C507" s="462">
        <v>100830.6080277647</v>
      </c>
      <c r="D507" s="461">
        <v>0</v>
      </c>
      <c r="E507" s="462">
        <v>111802.18467272099</v>
      </c>
      <c r="F507" s="461">
        <v>0</v>
      </c>
      <c r="G507" s="462">
        <v>93243.906423384804</v>
      </c>
      <c r="H507" s="461">
        <v>0</v>
      </c>
      <c r="I507" s="462">
        <v>79205.679999999993</v>
      </c>
      <c r="J507" s="461">
        <v>0</v>
      </c>
      <c r="K507" s="462">
        <v>83826.100000000006</v>
      </c>
      <c r="L507" s="435"/>
      <c r="M507" s="461">
        <f t="shared" si="189"/>
        <v>0</v>
      </c>
      <c r="N507" s="462">
        <f t="shared" si="190"/>
        <v>0</v>
      </c>
      <c r="O507" s="461">
        <f t="shared" si="191"/>
        <v>0</v>
      </c>
      <c r="P507" s="462">
        <f t="shared" si="192"/>
        <v>0</v>
      </c>
      <c r="R507" s="465" t="s">
        <v>304</v>
      </c>
      <c r="S507" s="461">
        <v>0</v>
      </c>
      <c r="T507" s="462">
        <v>79205.679999999993</v>
      </c>
      <c r="U507" s="461">
        <v>0</v>
      </c>
      <c r="V507" s="462">
        <v>83826.100000000006</v>
      </c>
    </row>
    <row r="508" spans="1:22" x14ac:dyDescent="0.2">
      <c r="A508" s="465" t="s">
        <v>305</v>
      </c>
      <c r="B508" s="461">
        <v>0</v>
      </c>
      <c r="C508" s="462">
        <v>31935.407639767236</v>
      </c>
      <c r="D508" s="461">
        <v>0</v>
      </c>
      <c r="E508" s="462">
        <v>35252.574551501508</v>
      </c>
      <c r="F508" s="461">
        <v>0</v>
      </c>
      <c r="G508" s="462">
        <v>41028.848316001822</v>
      </c>
      <c r="H508" s="461">
        <v>0</v>
      </c>
      <c r="I508" s="462">
        <v>133349.32</v>
      </c>
      <c r="J508" s="461">
        <v>0</v>
      </c>
      <c r="K508" s="462">
        <v>162711.07</v>
      </c>
      <c r="L508" s="435"/>
      <c r="M508" s="461">
        <f t="shared" si="189"/>
        <v>0</v>
      </c>
      <c r="N508" s="462">
        <f t="shared" si="190"/>
        <v>0</v>
      </c>
      <c r="O508" s="461">
        <f t="shared" si="191"/>
        <v>0</v>
      </c>
      <c r="P508" s="462">
        <f t="shared" si="192"/>
        <v>0</v>
      </c>
      <c r="R508" s="465" t="s">
        <v>305</v>
      </c>
      <c r="S508" s="461">
        <v>0</v>
      </c>
      <c r="T508" s="462">
        <v>133349.32</v>
      </c>
      <c r="U508" s="461">
        <v>0</v>
      </c>
      <c r="V508" s="462">
        <v>162711.07</v>
      </c>
    </row>
    <row r="509" spans="1:22" x14ac:dyDescent="0.2">
      <c r="A509" s="465" t="s">
        <v>306</v>
      </c>
      <c r="B509" s="461">
        <v>0</v>
      </c>
      <c r="C509" s="462">
        <v>0</v>
      </c>
      <c r="D509" s="461">
        <v>0</v>
      </c>
      <c r="E509" s="462">
        <v>0</v>
      </c>
      <c r="F509" s="461">
        <v>0</v>
      </c>
      <c r="G509" s="462">
        <v>0</v>
      </c>
      <c r="H509" s="461">
        <v>0</v>
      </c>
      <c r="I509" s="462">
        <v>18339.590000000004</v>
      </c>
      <c r="J509" s="461">
        <v>0</v>
      </c>
      <c r="K509" s="462">
        <v>21270.050000000003</v>
      </c>
      <c r="L509" s="435"/>
      <c r="M509" s="461">
        <f t="shared" si="189"/>
        <v>0</v>
      </c>
      <c r="N509" s="462">
        <f t="shared" si="190"/>
        <v>0</v>
      </c>
      <c r="O509" s="461">
        <f t="shared" si="191"/>
        <v>0</v>
      </c>
      <c r="P509" s="462">
        <f t="shared" si="192"/>
        <v>0</v>
      </c>
      <c r="R509" s="465" t="s">
        <v>306</v>
      </c>
      <c r="S509" s="461">
        <v>0</v>
      </c>
      <c r="T509" s="462">
        <v>18339.590000000004</v>
      </c>
      <c r="U509" s="461">
        <v>0</v>
      </c>
      <c r="V509" s="462">
        <v>21270.050000000003</v>
      </c>
    </row>
    <row r="510" spans="1:22" x14ac:dyDescent="0.2">
      <c r="A510" s="465" t="s">
        <v>307</v>
      </c>
      <c r="B510" s="461">
        <v>0</v>
      </c>
      <c r="C510" s="462">
        <v>74448.282602073436</v>
      </c>
      <c r="D510" s="461">
        <v>0</v>
      </c>
      <c r="E510" s="462">
        <v>55503.264239216769</v>
      </c>
      <c r="F510" s="461">
        <v>0</v>
      </c>
      <c r="G510" s="462">
        <v>65453.20580550257</v>
      </c>
      <c r="H510" s="461">
        <v>0</v>
      </c>
      <c r="I510" s="462">
        <v>183749.37</v>
      </c>
      <c r="J510" s="461">
        <v>0</v>
      </c>
      <c r="K510" s="462">
        <v>201449.71</v>
      </c>
      <c r="L510" s="435"/>
      <c r="M510" s="461">
        <f t="shared" si="189"/>
        <v>0</v>
      </c>
      <c r="N510" s="462">
        <f t="shared" si="190"/>
        <v>0</v>
      </c>
      <c r="O510" s="461">
        <f t="shared" si="191"/>
        <v>0</v>
      </c>
      <c r="P510" s="462">
        <f t="shared" si="192"/>
        <v>0</v>
      </c>
      <c r="R510" s="465" t="s">
        <v>307</v>
      </c>
      <c r="S510" s="461">
        <v>0</v>
      </c>
      <c r="T510" s="462">
        <v>183749.37</v>
      </c>
      <c r="U510" s="461">
        <v>0</v>
      </c>
      <c r="V510" s="462">
        <v>201449.71</v>
      </c>
    </row>
    <row r="511" spans="1:22" x14ac:dyDescent="0.2">
      <c r="A511" s="465" t="s">
        <v>308</v>
      </c>
      <c r="B511" s="461">
        <v>0</v>
      </c>
      <c r="C511" s="462">
        <v>0</v>
      </c>
      <c r="D511" s="461">
        <v>0</v>
      </c>
      <c r="E511" s="462">
        <v>0</v>
      </c>
      <c r="F511" s="461">
        <v>0</v>
      </c>
      <c r="G511" s="462">
        <v>0</v>
      </c>
      <c r="H511" s="461">
        <v>0</v>
      </c>
      <c r="I511" s="462">
        <v>0</v>
      </c>
      <c r="J511" s="461">
        <v>0</v>
      </c>
      <c r="K511" s="462">
        <v>0</v>
      </c>
      <c r="L511" s="435"/>
      <c r="M511" s="461">
        <f t="shared" si="189"/>
        <v>0</v>
      </c>
      <c r="N511" s="462">
        <f t="shared" si="190"/>
        <v>0</v>
      </c>
      <c r="O511" s="461">
        <f t="shared" si="191"/>
        <v>0</v>
      </c>
      <c r="P511" s="462">
        <f t="shared" si="192"/>
        <v>0</v>
      </c>
      <c r="R511" s="465" t="s">
        <v>308</v>
      </c>
      <c r="S511" s="461">
        <v>0</v>
      </c>
      <c r="T511" s="462">
        <v>0</v>
      </c>
      <c r="U511" s="461">
        <v>0</v>
      </c>
      <c r="V511" s="462">
        <v>0</v>
      </c>
    </row>
    <row r="512" spans="1:22" x14ac:dyDescent="0.2">
      <c r="A512" s="465" t="s">
        <v>309</v>
      </c>
      <c r="B512" s="461">
        <v>0</v>
      </c>
      <c r="C512" s="462">
        <v>0</v>
      </c>
      <c r="D512" s="461">
        <v>0</v>
      </c>
      <c r="E512" s="462">
        <v>0</v>
      </c>
      <c r="F512" s="461">
        <v>0</v>
      </c>
      <c r="G512" s="462">
        <v>0</v>
      </c>
      <c r="H512" s="461">
        <v>0</v>
      </c>
      <c r="I512" s="462">
        <v>0</v>
      </c>
      <c r="J512" s="461">
        <v>0</v>
      </c>
      <c r="K512" s="462">
        <v>0</v>
      </c>
      <c r="L512" s="435"/>
      <c r="M512" s="461">
        <f t="shared" si="189"/>
        <v>0</v>
      </c>
      <c r="N512" s="462">
        <f t="shared" si="190"/>
        <v>0</v>
      </c>
      <c r="O512" s="461">
        <f t="shared" si="191"/>
        <v>0</v>
      </c>
      <c r="P512" s="462">
        <f t="shared" si="192"/>
        <v>0</v>
      </c>
      <c r="R512" s="465" t="s">
        <v>309</v>
      </c>
      <c r="S512" s="461">
        <v>0</v>
      </c>
      <c r="T512" s="462">
        <v>0</v>
      </c>
      <c r="U512" s="461">
        <v>0</v>
      </c>
      <c r="V512" s="462">
        <v>0</v>
      </c>
    </row>
    <row r="513" spans="1:22" x14ac:dyDescent="0.2">
      <c r="A513" s="466" t="s">
        <v>310</v>
      </c>
      <c r="B513" s="461">
        <v>0</v>
      </c>
      <c r="C513" s="462">
        <v>185577.35972332337</v>
      </c>
      <c r="D513" s="461">
        <v>0</v>
      </c>
      <c r="E513" s="462">
        <v>191078.06938206981</v>
      </c>
      <c r="F513" s="461">
        <v>0</v>
      </c>
      <c r="G513" s="462">
        <v>220730.61270937233</v>
      </c>
      <c r="H513" s="461">
        <v>0</v>
      </c>
      <c r="I513" s="492">
        <v>184781.58</v>
      </c>
      <c r="J513" s="461">
        <v>0</v>
      </c>
      <c r="K513" s="492">
        <v>191016.89000000007</v>
      </c>
      <c r="L513" s="435"/>
      <c r="M513" s="461">
        <f t="shared" si="189"/>
        <v>0</v>
      </c>
      <c r="N513" s="492">
        <f t="shared" si="190"/>
        <v>0</v>
      </c>
      <c r="O513" s="461">
        <f t="shared" si="191"/>
        <v>0</v>
      </c>
      <c r="P513" s="492">
        <f t="shared" si="192"/>
        <v>0</v>
      </c>
      <c r="R513" s="466" t="s">
        <v>310</v>
      </c>
      <c r="S513" s="461">
        <v>0</v>
      </c>
      <c r="T513" s="492">
        <v>184781.58</v>
      </c>
      <c r="U513" s="461">
        <v>0</v>
      </c>
      <c r="V513" s="492">
        <v>191016.89000000007</v>
      </c>
    </row>
    <row r="514" spans="1:22" ht="3" customHeight="1" x14ac:dyDescent="0.2">
      <c r="A514" s="469"/>
      <c r="B514" s="470"/>
      <c r="C514" s="471"/>
      <c r="D514" s="470"/>
      <c r="E514" s="471"/>
      <c r="F514" s="470"/>
      <c r="G514" s="471"/>
      <c r="H514" s="470"/>
      <c r="I514" s="471"/>
      <c r="J514" s="470"/>
      <c r="K514" s="471"/>
      <c r="L514" s="435"/>
      <c r="M514" s="470"/>
      <c r="N514" s="471"/>
      <c r="O514" s="470"/>
      <c r="P514" s="471"/>
      <c r="R514" s="469"/>
      <c r="S514" s="470"/>
      <c r="T514" s="471"/>
      <c r="U514" s="470"/>
      <c r="V514" s="471"/>
    </row>
    <row r="515" spans="1:22" ht="12" thickBot="1" x14ac:dyDescent="0.25">
      <c r="A515" s="472" t="s">
        <v>205</v>
      </c>
      <c r="B515" s="473">
        <f t="shared" ref="B515:G515" si="193">SUM(B504:B514)</f>
        <v>0</v>
      </c>
      <c r="C515" s="474">
        <f t="shared" si="193"/>
        <v>455462.88854365313</v>
      </c>
      <c r="D515" s="473">
        <f t="shared" si="193"/>
        <v>0</v>
      </c>
      <c r="E515" s="474">
        <f t="shared" si="193"/>
        <v>437042.63766978006</v>
      </c>
      <c r="F515" s="473">
        <f t="shared" si="193"/>
        <v>0</v>
      </c>
      <c r="G515" s="474">
        <f t="shared" si="193"/>
        <v>475959.39695604861</v>
      </c>
      <c r="H515" s="473">
        <v>0</v>
      </c>
      <c r="I515" s="474">
        <v>653720.72</v>
      </c>
      <c r="J515" s="473">
        <v>0</v>
      </c>
      <c r="K515" s="474">
        <v>727625.76</v>
      </c>
      <c r="L515" s="435"/>
      <c r="M515" s="473">
        <f>IFERROR(H515-S515,"")</f>
        <v>0</v>
      </c>
      <c r="N515" s="474">
        <f>IFERROR(I515-T515,"")</f>
        <v>0</v>
      </c>
      <c r="O515" s="473">
        <f>IFERROR(J515-U515,"")</f>
        <v>0</v>
      </c>
      <c r="P515" s="474">
        <f>IFERROR(K515-V515,"")</f>
        <v>0</v>
      </c>
      <c r="R515" s="472" t="s">
        <v>205</v>
      </c>
      <c r="S515" s="473">
        <v>0</v>
      </c>
      <c r="T515" s="474">
        <v>653720.72</v>
      </c>
      <c r="U515" s="473">
        <v>0</v>
      </c>
      <c r="V515" s="474">
        <v>727625.76</v>
      </c>
    </row>
    <row r="516" spans="1:22" ht="12" thickTop="1" x14ac:dyDescent="0.2">
      <c r="A516" s="475"/>
      <c r="B516" s="477"/>
      <c r="C516" s="476"/>
      <c r="D516" s="477"/>
      <c r="E516" s="476"/>
      <c r="F516" s="477"/>
      <c r="G516" s="476"/>
      <c r="H516" s="477"/>
      <c r="I516" s="476"/>
      <c r="J516" s="477"/>
      <c r="K516" s="476"/>
      <c r="L516" s="435"/>
      <c r="M516" s="477"/>
      <c r="N516" s="476"/>
      <c r="O516" s="477"/>
      <c r="P516" s="476"/>
      <c r="R516" s="475"/>
      <c r="S516" s="477"/>
      <c r="T516" s="476"/>
      <c r="U516" s="477"/>
      <c r="V516" s="476"/>
    </row>
    <row r="517" spans="1:22" x14ac:dyDescent="0.2">
      <c r="A517" s="476"/>
      <c r="B517" s="477"/>
      <c r="C517" s="476"/>
      <c r="D517" s="477"/>
      <c r="E517" s="476"/>
      <c r="F517" s="477"/>
      <c r="G517" s="476"/>
      <c r="H517" s="477"/>
      <c r="I517" s="476"/>
      <c r="J517" s="477"/>
      <c r="K517" s="476"/>
      <c r="L517" s="435"/>
      <c r="M517" s="477"/>
      <c r="N517" s="476"/>
      <c r="O517" s="477"/>
      <c r="P517" s="476"/>
      <c r="R517" s="476"/>
      <c r="S517" s="477"/>
      <c r="T517" s="476"/>
      <c r="U517" s="477"/>
      <c r="V517" s="476"/>
    </row>
    <row r="518" spans="1:22" x14ac:dyDescent="0.2">
      <c r="A518" s="480" t="s">
        <v>313</v>
      </c>
      <c r="B518" s="487"/>
      <c r="C518" s="486"/>
      <c r="D518" s="487"/>
      <c r="E518" s="486"/>
      <c r="F518" s="487"/>
      <c r="G518" s="486"/>
      <c r="H518" s="487"/>
      <c r="I518" s="486"/>
      <c r="J518" s="487"/>
      <c r="K518" s="486"/>
      <c r="L518" s="435"/>
      <c r="M518" s="487"/>
      <c r="N518" s="486"/>
      <c r="O518" s="487"/>
      <c r="P518" s="486"/>
      <c r="R518" s="480" t="s">
        <v>313</v>
      </c>
      <c r="S518" s="487"/>
      <c r="T518" s="486"/>
      <c r="U518" s="487"/>
      <c r="V518" s="486"/>
    </row>
    <row r="519" spans="1:22" x14ac:dyDescent="0.2">
      <c r="A519" s="455" t="s">
        <v>301</v>
      </c>
      <c r="B519" s="456">
        <v>0</v>
      </c>
      <c r="C519" s="457">
        <v>0</v>
      </c>
      <c r="D519" s="456">
        <v>0</v>
      </c>
      <c r="E519" s="457">
        <v>0</v>
      </c>
      <c r="F519" s="456">
        <v>0</v>
      </c>
      <c r="G519" s="457">
        <v>0</v>
      </c>
      <c r="H519" s="456">
        <v>0</v>
      </c>
      <c r="I519" s="457">
        <v>0</v>
      </c>
      <c r="J519" s="456">
        <v>0</v>
      </c>
      <c r="K519" s="457">
        <v>0</v>
      </c>
      <c r="L519" s="435"/>
      <c r="M519" s="456">
        <f t="shared" ref="M519:M528" si="194">IFERROR(H519-S519,"")</f>
        <v>0</v>
      </c>
      <c r="N519" s="457">
        <f t="shared" ref="N519:N528" si="195">IFERROR(I519-T519,"")</f>
        <v>0</v>
      </c>
      <c r="O519" s="456">
        <f t="shared" ref="O519:O528" si="196">IFERROR(J519-U519,"")</f>
        <v>0</v>
      </c>
      <c r="P519" s="457">
        <f t="shared" ref="P519:P528" si="197">IFERROR(K519-V519,"")</f>
        <v>0</v>
      </c>
      <c r="R519" s="455" t="s">
        <v>301</v>
      </c>
      <c r="S519" s="456">
        <v>0</v>
      </c>
      <c r="T519" s="457">
        <v>0</v>
      </c>
      <c r="U519" s="456">
        <v>0</v>
      </c>
      <c r="V519" s="457">
        <v>0</v>
      </c>
    </row>
    <row r="520" spans="1:22" x14ac:dyDescent="0.2">
      <c r="A520" s="465" t="s">
        <v>302</v>
      </c>
      <c r="B520" s="461">
        <v>0</v>
      </c>
      <c r="C520" s="462">
        <v>0</v>
      </c>
      <c r="D520" s="461">
        <v>0</v>
      </c>
      <c r="E520" s="462">
        <v>0</v>
      </c>
      <c r="F520" s="461">
        <v>0</v>
      </c>
      <c r="G520" s="462">
        <v>0</v>
      </c>
      <c r="H520" s="461">
        <v>0</v>
      </c>
      <c r="I520" s="462">
        <v>0</v>
      </c>
      <c r="J520" s="461">
        <v>0</v>
      </c>
      <c r="K520" s="462">
        <v>0</v>
      </c>
      <c r="L520" s="435"/>
      <c r="M520" s="461">
        <f t="shared" si="194"/>
        <v>0</v>
      </c>
      <c r="N520" s="462">
        <f t="shared" si="195"/>
        <v>0</v>
      </c>
      <c r="O520" s="461">
        <f t="shared" si="196"/>
        <v>0</v>
      </c>
      <c r="P520" s="462">
        <f t="shared" si="197"/>
        <v>0</v>
      </c>
      <c r="R520" s="465" t="s">
        <v>302</v>
      </c>
      <c r="S520" s="461">
        <v>0</v>
      </c>
      <c r="T520" s="462">
        <v>0</v>
      </c>
      <c r="U520" s="461">
        <v>0</v>
      </c>
      <c r="V520" s="462">
        <v>0</v>
      </c>
    </row>
    <row r="521" spans="1:22" x14ac:dyDescent="0.2">
      <c r="A521" s="460" t="s">
        <v>303</v>
      </c>
      <c r="B521" s="461">
        <v>0</v>
      </c>
      <c r="C521" s="462">
        <v>0</v>
      </c>
      <c r="D521" s="461">
        <v>0</v>
      </c>
      <c r="E521" s="462">
        <v>0</v>
      </c>
      <c r="F521" s="461">
        <v>0</v>
      </c>
      <c r="G521" s="462">
        <v>0</v>
      </c>
      <c r="H521" s="461">
        <v>0</v>
      </c>
      <c r="I521" s="462">
        <v>0</v>
      </c>
      <c r="J521" s="461">
        <v>0</v>
      </c>
      <c r="K521" s="462">
        <v>0</v>
      </c>
      <c r="L521" s="435"/>
      <c r="M521" s="461">
        <f t="shared" si="194"/>
        <v>0</v>
      </c>
      <c r="N521" s="462">
        <f t="shared" si="195"/>
        <v>0</v>
      </c>
      <c r="O521" s="461">
        <f t="shared" si="196"/>
        <v>0</v>
      </c>
      <c r="P521" s="462">
        <f t="shared" si="197"/>
        <v>0</v>
      </c>
      <c r="R521" s="460" t="s">
        <v>303</v>
      </c>
      <c r="S521" s="461">
        <v>0</v>
      </c>
      <c r="T521" s="462">
        <v>0</v>
      </c>
      <c r="U521" s="461">
        <v>0</v>
      </c>
      <c r="V521" s="462">
        <v>0</v>
      </c>
    </row>
    <row r="522" spans="1:22" x14ac:dyDescent="0.2">
      <c r="A522" s="465" t="s">
        <v>304</v>
      </c>
      <c r="B522" s="461">
        <v>0</v>
      </c>
      <c r="C522" s="462">
        <v>31216.521674332169</v>
      </c>
      <c r="D522" s="461">
        <v>0</v>
      </c>
      <c r="E522" s="462">
        <v>28338.798947801883</v>
      </c>
      <c r="F522" s="461">
        <v>0</v>
      </c>
      <c r="G522" s="462">
        <v>31064.712154034933</v>
      </c>
      <c r="H522" s="461">
        <v>0</v>
      </c>
      <c r="I522" s="462">
        <v>32302.61</v>
      </c>
      <c r="J522" s="461">
        <v>0</v>
      </c>
      <c r="K522" s="462">
        <v>33466.209999999992</v>
      </c>
      <c r="L522" s="435"/>
      <c r="M522" s="461">
        <f t="shared" si="194"/>
        <v>0</v>
      </c>
      <c r="N522" s="462">
        <f t="shared" si="195"/>
        <v>0</v>
      </c>
      <c r="O522" s="461">
        <f t="shared" si="196"/>
        <v>0</v>
      </c>
      <c r="P522" s="462">
        <f t="shared" si="197"/>
        <v>0</v>
      </c>
      <c r="R522" s="465" t="s">
        <v>304</v>
      </c>
      <c r="S522" s="461">
        <v>0</v>
      </c>
      <c r="T522" s="462">
        <v>32302.61</v>
      </c>
      <c r="U522" s="461">
        <v>0</v>
      </c>
      <c r="V522" s="462">
        <v>33466.209999999992</v>
      </c>
    </row>
    <row r="523" spans="1:22" x14ac:dyDescent="0.2">
      <c r="A523" s="465" t="s">
        <v>305</v>
      </c>
      <c r="B523" s="461">
        <v>0</v>
      </c>
      <c r="C523" s="462">
        <v>144136.04426589789</v>
      </c>
      <c r="D523" s="461">
        <v>0</v>
      </c>
      <c r="E523" s="462">
        <v>130982.87830280069</v>
      </c>
      <c r="F523" s="461">
        <v>0</v>
      </c>
      <c r="G523" s="462">
        <v>153203.77956292056</v>
      </c>
      <c r="H523" s="461">
        <v>0</v>
      </c>
      <c r="I523" s="462">
        <v>153576.47</v>
      </c>
      <c r="J523" s="461">
        <v>0</v>
      </c>
      <c r="K523" s="462">
        <v>157221.07</v>
      </c>
      <c r="L523" s="435"/>
      <c r="M523" s="461">
        <f t="shared" si="194"/>
        <v>0</v>
      </c>
      <c r="N523" s="462">
        <f t="shared" si="195"/>
        <v>0</v>
      </c>
      <c r="O523" s="461">
        <f t="shared" si="196"/>
        <v>0</v>
      </c>
      <c r="P523" s="462">
        <f t="shared" si="197"/>
        <v>0</v>
      </c>
      <c r="R523" s="465" t="s">
        <v>305</v>
      </c>
      <c r="S523" s="461">
        <v>0</v>
      </c>
      <c r="T523" s="462">
        <v>153576.47</v>
      </c>
      <c r="U523" s="461">
        <v>0</v>
      </c>
      <c r="V523" s="462">
        <v>157221.07</v>
      </c>
    </row>
    <row r="524" spans="1:22" x14ac:dyDescent="0.2">
      <c r="A524" s="465" t="s">
        <v>306</v>
      </c>
      <c r="B524" s="461">
        <v>0</v>
      </c>
      <c r="C524" s="462">
        <v>0</v>
      </c>
      <c r="D524" s="461">
        <v>0</v>
      </c>
      <c r="E524" s="462">
        <v>0</v>
      </c>
      <c r="F524" s="461">
        <v>0</v>
      </c>
      <c r="G524" s="462">
        <v>0</v>
      </c>
      <c r="H524" s="461">
        <v>0</v>
      </c>
      <c r="I524" s="462">
        <v>0</v>
      </c>
      <c r="J524" s="461">
        <v>0</v>
      </c>
      <c r="K524" s="462">
        <v>0</v>
      </c>
      <c r="L524" s="435"/>
      <c r="M524" s="461">
        <f t="shared" si="194"/>
        <v>0</v>
      </c>
      <c r="N524" s="462">
        <f t="shared" si="195"/>
        <v>0</v>
      </c>
      <c r="O524" s="461">
        <f t="shared" si="196"/>
        <v>0</v>
      </c>
      <c r="P524" s="462">
        <f t="shared" si="197"/>
        <v>0</v>
      </c>
      <c r="R524" s="465" t="s">
        <v>306</v>
      </c>
      <c r="S524" s="461">
        <v>0</v>
      </c>
      <c r="T524" s="462">
        <v>0</v>
      </c>
      <c r="U524" s="461">
        <v>0</v>
      </c>
      <c r="V524" s="462">
        <v>0</v>
      </c>
    </row>
    <row r="525" spans="1:22" x14ac:dyDescent="0.2">
      <c r="A525" s="465" t="s">
        <v>307</v>
      </c>
      <c r="B525" s="461">
        <v>0</v>
      </c>
      <c r="C525" s="462">
        <v>3676.8167201922001</v>
      </c>
      <c r="D525" s="461">
        <v>0</v>
      </c>
      <c r="E525" s="462">
        <v>4354.4104681699382</v>
      </c>
      <c r="F525" s="461">
        <v>0</v>
      </c>
      <c r="G525" s="462">
        <v>18300.719068772563</v>
      </c>
      <c r="H525" s="461">
        <v>0</v>
      </c>
      <c r="I525" s="462">
        <v>15906.760000000002</v>
      </c>
      <c r="J525" s="461">
        <v>0</v>
      </c>
      <c r="K525" s="462">
        <v>16617.96</v>
      </c>
      <c r="L525" s="435"/>
      <c r="M525" s="461">
        <f t="shared" si="194"/>
        <v>0</v>
      </c>
      <c r="N525" s="462">
        <f t="shared" si="195"/>
        <v>0</v>
      </c>
      <c r="O525" s="461">
        <f t="shared" si="196"/>
        <v>0</v>
      </c>
      <c r="P525" s="462">
        <f t="shared" si="197"/>
        <v>0</v>
      </c>
      <c r="R525" s="465" t="s">
        <v>307</v>
      </c>
      <c r="S525" s="461">
        <v>0</v>
      </c>
      <c r="T525" s="462">
        <v>15906.760000000002</v>
      </c>
      <c r="U525" s="461">
        <v>0</v>
      </c>
      <c r="V525" s="462">
        <v>16617.96</v>
      </c>
    </row>
    <row r="526" spans="1:22" x14ac:dyDescent="0.2">
      <c r="A526" s="465" t="s">
        <v>308</v>
      </c>
      <c r="B526" s="461">
        <v>0</v>
      </c>
      <c r="C526" s="462">
        <v>0</v>
      </c>
      <c r="D526" s="461">
        <v>0</v>
      </c>
      <c r="E526" s="462">
        <v>0</v>
      </c>
      <c r="F526" s="461">
        <v>0</v>
      </c>
      <c r="G526" s="462">
        <v>0</v>
      </c>
      <c r="H526" s="461">
        <v>0</v>
      </c>
      <c r="I526" s="462">
        <v>0</v>
      </c>
      <c r="J526" s="461">
        <v>0</v>
      </c>
      <c r="K526" s="462">
        <v>0</v>
      </c>
      <c r="L526" s="435"/>
      <c r="M526" s="461">
        <f t="shared" si="194"/>
        <v>0</v>
      </c>
      <c r="N526" s="462">
        <f t="shared" si="195"/>
        <v>0</v>
      </c>
      <c r="O526" s="461">
        <f t="shared" si="196"/>
        <v>0</v>
      </c>
      <c r="P526" s="462">
        <f t="shared" si="197"/>
        <v>0</v>
      </c>
      <c r="R526" s="465" t="s">
        <v>308</v>
      </c>
      <c r="S526" s="461">
        <v>0</v>
      </c>
      <c r="T526" s="462">
        <v>0</v>
      </c>
      <c r="U526" s="461">
        <v>0</v>
      </c>
      <c r="V526" s="462">
        <v>0</v>
      </c>
    </row>
    <row r="527" spans="1:22" x14ac:dyDescent="0.2">
      <c r="A527" s="465" t="s">
        <v>309</v>
      </c>
      <c r="B527" s="461">
        <v>0</v>
      </c>
      <c r="C527" s="462">
        <v>0</v>
      </c>
      <c r="D527" s="461">
        <v>0</v>
      </c>
      <c r="E527" s="462">
        <v>0</v>
      </c>
      <c r="F527" s="461">
        <v>0</v>
      </c>
      <c r="G527" s="462">
        <v>0</v>
      </c>
      <c r="H527" s="461">
        <v>0</v>
      </c>
      <c r="I527" s="462">
        <v>0</v>
      </c>
      <c r="J527" s="461">
        <v>0</v>
      </c>
      <c r="K527" s="462">
        <v>0</v>
      </c>
      <c r="L527" s="435"/>
      <c r="M527" s="461">
        <f t="shared" si="194"/>
        <v>0</v>
      </c>
      <c r="N527" s="462">
        <f t="shared" si="195"/>
        <v>0</v>
      </c>
      <c r="O527" s="461">
        <f t="shared" si="196"/>
        <v>0</v>
      </c>
      <c r="P527" s="462">
        <f t="shared" si="197"/>
        <v>0</v>
      </c>
      <c r="R527" s="465" t="s">
        <v>309</v>
      </c>
      <c r="S527" s="461">
        <v>0</v>
      </c>
      <c r="T527" s="462">
        <v>0</v>
      </c>
      <c r="U527" s="461">
        <v>0</v>
      </c>
      <c r="V527" s="462">
        <v>0</v>
      </c>
    </row>
    <row r="528" spans="1:22" x14ac:dyDescent="0.2">
      <c r="A528" s="466" t="s">
        <v>310</v>
      </c>
      <c r="B528" s="461">
        <v>0</v>
      </c>
      <c r="C528" s="462">
        <v>34753.702608739426</v>
      </c>
      <c r="D528" s="461">
        <v>0</v>
      </c>
      <c r="E528" s="462">
        <v>37408.641385786839</v>
      </c>
      <c r="F528" s="461">
        <v>0</v>
      </c>
      <c r="G528" s="462">
        <v>49689.114402564192</v>
      </c>
      <c r="H528" s="461">
        <v>0</v>
      </c>
      <c r="I528" s="492">
        <v>48410.97</v>
      </c>
      <c r="J528" s="461">
        <v>0</v>
      </c>
      <c r="K528" s="492">
        <v>50073.71</v>
      </c>
      <c r="L528" s="435"/>
      <c r="M528" s="461">
        <f t="shared" si="194"/>
        <v>0</v>
      </c>
      <c r="N528" s="492">
        <f t="shared" si="195"/>
        <v>0</v>
      </c>
      <c r="O528" s="461">
        <f t="shared" si="196"/>
        <v>0</v>
      </c>
      <c r="P528" s="492">
        <f t="shared" si="197"/>
        <v>0</v>
      </c>
      <c r="R528" s="466" t="s">
        <v>310</v>
      </c>
      <c r="S528" s="461">
        <v>0</v>
      </c>
      <c r="T528" s="492">
        <v>48410.97</v>
      </c>
      <c r="U528" s="461">
        <v>0</v>
      </c>
      <c r="V528" s="492">
        <v>50073.71</v>
      </c>
    </row>
    <row r="529" spans="1:22" ht="3" customHeight="1" x14ac:dyDescent="0.2">
      <c r="A529" s="469"/>
      <c r="B529" s="470"/>
      <c r="C529" s="471"/>
      <c r="D529" s="470"/>
      <c r="E529" s="471"/>
      <c r="F529" s="470"/>
      <c r="G529" s="471"/>
      <c r="H529" s="470"/>
      <c r="I529" s="471"/>
      <c r="J529" s="470"/>
      <c r="K529" s="471"/>
      <c r="L529" s="435"/>
      <c r="M529" s="470"/>
      <c r="N529" s="471"/>
      <c r="O529" s="470"/>
      <c r="P529" s="471"/>
      <c r="R529" s="469"/>
      <c r="S529" s="470"/>
      <c r="T529" s="471"/>
      <c r="U529" s="470"/>
      <c r="V529" s="471"/>
    </row>
    <row r="530" spans="1:22" ht="12" thickBot="1" x14ac:dyDescent="0.25">
      <c r="A530" s="472" t="s">
        <v>205</v>
      </c>
      <c r="B530" s="473">
        <f t="shared" ref="B530:G530" si="198">SUM(B519:B529)</f>
        <v>0</v>
      </c>
      <c r="C530" s="474">
        <f t="shared" si="198"/>
        <v>213783.0852691617</v>
      </c>
      <c r="D530" s="473">
        <f t="shared" si="198"/>
        <v>0</v>
      </c>
      <c r="E530" s="474">
        <f t="shared" si="198"/>
        <v>201084.72910455934</v>
      </c>
      <c r="F530" s="473">
        <f t="shared" si="198"/>
        <v>0</v>
      </c>
      <c r="G530" s="474">
        <f t="shared" si="198"/>
        <v>252258.32518829225</v>
      </c>
      <c r="H530" s="473">
        <v>0</v>
      </c>
      <c r="I530" s="474">
        <v>250196.81000000003</v>
      </c>
      <c r="J530" s="473">
        <v>0</v>
      </c>
      <c r="K530" s="474">
        <v>257378.94999999998</v>
      </c>
      <c r="L530" s="435"/>
      <c r="M530" s="473">
        <f>IFERROR(H530-S530,"")</f>
        <v>0</v>
      </c>
      <c r="N530" s="474">
        <f>IFERROR(I530-T530,"")</f>
        <v>0</v>
      </c>
      <c r="O530" s="473">
        <f>IFERROR(J530-U530,"")</f>
        <v>0</v>
      </c>
      <c r="P530" s="474">
        <f>IFERROR(K530-V530,"")</f>
        <v>0</v>
      </c>
      <c r="R530" s="472" t="s">
        <v>205</v>
      </c>
      <c r="S530" s="473">
        <v>0</v>
      </c>
      <c r="T530" s="474">
        <v>250196.81000000003</v>
      </c>
      <c r="U530" s="473">
        <v>0</v>
      </c>
      <c r="V530" s="474">
        <v>257378.94999999998</v>
      </c>
    </row>
    <row r="531" spans="1:22" ht="12" thickTop="1" x14ac:dyDescent="0.2">
      <c r="A531" s="475"/>
      <c r="B531" s="477"/>
      <c r="C531" s="476"/>
      <c r="D531" s="477"/>
      <c r="E531" s="476"/>
      <c r="F531" s="477"/>
      <c r="G531" s="476"/>
      <c r="H531" s="477"/>
      <c r="I531" s="476"/>
      <c r="J531" s="477"/>
      <c r="K531" s="476"/>
      <c r="L531" s="435"/>
      <c r="M531" s="477"/>
      <c r="N531" s="476"/>
      <c r="O531" s="477"/>
      <c r="P531" s="476"/>
      <c r="R531" s="475"/>
      <c r="S531" s="477"/>
      <c r="T531" s="476"/>
      <c r="U531" s="477"/>
      <c r="V531" s="476"/>
    </row>
    <row r="532" spans="1:22" x14ac:dyDescent="0.2">
      <c r="A532" s="476"/>
      <c r="B532" s="477"/>
      <c r="C532" s="476"/>
      <c r="D532" s="477"/>
      <c r="E532" s="476"/>
      <c r="F532" s="477"/>
      <c r="G532" s="476"/>
      <c r="H532" s="477"/>
      <c r="I532" s="476"/>
      <c r="J532" s="477"/>
      <c r="K532" s="476"/>
      <c r="L532" s="435"/>
      <c r="M532" s="477"/>
      <c r="N532" s="476"/>
      <c r="O532" s="477"/>
      <c r="P532" s="476"/>
      <c r="R532" s="476"/>
      <c r="S532" s="477"/>
      <c r="T532" s="476"/>
      <c r="U532" s="477"/>
      <c r="V532" s="476"/>
    </row>
    <row r="533" spans="1:22" x14ac:dyDescent="0.2">
      <c r="A533" s="480" t="s">
        <v>314</v>
      </c>
      <c r="B533" s="482"/>
      <c r="C533" s="481"/>
      <c r="D533" s="482"/>
      <c r="E533" s="481"/>
      <c r="F533" s="482"/>
      <c r="G533" s="481"/>
      <c r="H533" s="482"/>
      <c r="I533" s="481"/>
      <c r="J533" s="482"/>
      <c r="K533" s="481"/>
      <c r="L533" s="435"/>
      <c r="M533" s="482"/>
      <c r="N533" s="481"/>
      <c r="O533" s="482"/>
      <c r="P533" s="481"/>
      <c r="R533" s="480" t="s">
        <v>314</v>
      </c>
      <c r="S533" s="482"/>
      <c r="T533" s="481"/>
      <c r="U533" s="482"/>
      <c r="V533" s="481"/>
    </row>
    <row r="534" spans="1:22" x14ac:dyDescent="0.2">
      <c r="A534" s="455" t="s">
        <v>301</v>
      </c>
      <c r="B534" s="456">
        <v>0</v>
      </c>
      <c r="C534" s="457">
        <v>0</v>
      </c>
      <c r="D534" s="456">
        <v>0</v>
      </c>
      <c r="E534" s="457">
        <v>0</v>
      </c>
      <c r="F534" s="456">
        <v>0</v>
      </c>
      <c r="G534" s="457">
        <v>0</v>
      </c>
      <c r="H534" s="456">
        <v>0</v>
      </c>
      <c r="I534" s="457">
        <v>0</v>
      </c>
      <c r="J534" s="456">
        <v>0</v>
      </c>
      <c r="K534" s="457">
        <v>0</v>
      </c>
      <c r="L534" s="435"/>
      <c r="M534" s="456">
        <f t="shared" ref="M534:M543" si="199">IFERROR(H534-S534,"")</f>
        <v>0</v>
      </c>
      <c r="N534" s="457">
        <f t="shared" ref="N534:N543" si="200">IFERROR(I534-T534,"")</f>
        <v>0</v>
      </c>
      <c r="O534" s="456">
        <f t="shared" ref="O534:O543" si="201">IFERROR(J534-U534,"")</f>
        <v>0</v>
      </c>
      <c r="P534" s="457">
        <f t="shared" ref="P534:P543" si="202">IFERROR(K534-V534,"")</f>
        <v>0</v>
      </c>
      <c r="R534" s="455" t="s">
        <v>301</v>
      </c>
      <c r="S534" s="456">
        <v>0</v>
      </c>
      <c r="T534" s="457">
        <v>0</v>
      </c>
      <c r="U534" s="456">
        <v>0</v>
      </c>
      <c r="V534" s="457">
        <v>0</v>
      </c>
    </row>
    <row r="535" spans="1:22" x14ac:dyDescent="0.2">
      <c r="A535" s="465" t="s">
        <v>302</v>
      </c>
      <c r="B535" s="461">
        <v>0</v>
      </c>
      <c r="C535" s="462">
        <v>0</v>
      </c>
      <c r="D535" s="461">
        <v>0</v>
      </c>
      <c r="E535" s="462">
        <v>0</v>
      </c>
      <c r="F535" s="461">
        <v>0</v>
      </c>
      <c r="G535" s="462">
        <v>0</v>
      </c>
      <c r="H535" s="461">
        <v>0</v>
      </c>
      <c r="I535" s="462">
        <v>0</v>
      </c>
      <c r="J535" s="461">
        <v>0</v>
      </c>
      <c r="K535" s="462">
        <v>0</v>
      </c>
      <c r="L535" s="435"/>
      <c r="M535" s="461">
        <f t="shared" si="199"/>
        <v>0</v>
      </c>
      <c r="N535" s="462">
        <f t="shared" si="200"/>
        <v>0</v>
      </c>
      <c r="O535" s="461">
        <f t="shared" si="201"/>
        <v>0</v>
      </c>
      <c r="P535" s="462">
        <f t="shared" si="202"/>
        <v>0</v>
      </c>
      <c r="R535" s="465" t="s">
        <v>302</v>
      </c>
      <c r="S535" s="461">
        <v>0</v>
      </c>
      <c r="T535" s="462">
        <v>0</v>
      </c>
      <c r="U535" s="461">
        <v>0</v>
      </c>
      <c r="V535" s="462">
        <v>0</v>
      </c>
    </row>
    <row r="536" spans="1:22" x14ac:dyDescent="0.2">
      <c r="A536" s="460" t="s">
        <v>303</v>
      </c>
      <c r="B536" s="461">
        <v>0</v>
      </c>
      <c r="C536" s="462">
        <v>0</v>
      </c>
      <c r="D536" s="461">
        <v>0</v>
      </c>
      <c r="E536" s="462">
        <v>0</v>
      </c>
      <c r="F536" s="461">
        <v>0</v>
      </c>
      <c r="G536" s="462">
        <v>0</v>
      </c>
      <c r="H536" s="461">
        <v>0</v>
      </c>
      <c r="I536" s="462">
        <v>0</v>
      </c>
      <c r="J536" s="461">
        <v>0</v>
      </c>
      <c r="K536" s="462">
        <v>0</v>
      </c>
      <c r="L536" s="435"/>
      <c r="M536" s="461">
        <f t="shared" si="199"/>
        <v>0</v>
      </c>
      <c r="N536" s="462">
        <f t="shared" si="200"/>
        <v>0</v>
      </c>
      <c r="O536" s="461">
        <f t="shared" si="201"/>
        <v>0</v>
      </c>
      <c r="P536" s="462">
        <f t="shared" si="202"/>
        <v>0</v>
      </c>
      <c r="R536" s="460" t="s">
        <v>303</v>
      </c>
      <c r="S536" s="461">
        <v>0</v>
      </c>
      <c r="T536" s="462">
        <v>0</v>
      </c>
      <c r="U536" s="461">
        <v>0</v>
      </c>
      <c r="V536" s="462">
        <v>0</v>
      </c>
    </row>
    <row r="537" spans="1:22" x14ac:dyDescent="0.2">
      <c r="A537" s="465" t="s">
        <v>304</v>
      </c>
      <c r="B537" s="461">
        <v>0</v>
      </c>
      <c r="C537" s="462">
        <v>168952.25627557395</v>
      </c>
      <c r="D537" s="461">
        <v>0</v>
      </c>
      <c r="E537" s="462">
        <v>189563.42287620201</v>
      </c>
      <c r="F537" s="461">
        <v>0</v>
      </c>
      <c r="G537" s="462">
        <v>223382.72129585067</v>
      </c>
      <c r="H537" s="461">
        <v>0</v>
      </c>
      <c r="I537" s="462">
        <v>230724.53999999998</v>
      </c>
      <c r="J537" s="461">
        <v>0</v>
      </c>
      <c r="K537" s="462">
        <v>239878.09999999998</v>
      </c>
      <c r="L537" s="435"/>
      <c r="M537" s="461">
        <f t="shared" si="199"/>
        <v>0</v>
      </c>
      <c r="N537" s="462">
        <f t="shared" si="200"/>
        <v>0</v>
      </c>
      <c r="O537" s="461">
        <f t="shared" si="201"/>
        <v>0</v>
      </c>
      <c r="P537" s="462">
        <f t="shared" si="202"/>
        <v>0</v>
      </c>
      <c r="R537" s="465" t="s">
        <v>304</v>
      </c>
      <c r="S537" s="461">
        <v>0</v>
      </c>
      <c r="T537" s="462">
        <v>230724.53999999998</v>
      </c>
      <c r="U537" s="461">
        <v>0</v>
      </c>
      <c r="V537" s="462">
        <v>239878.09999999998</v>
      </c>
    </row>
    <row r="538" spans="1:22" x14ac:dyDescent="0.2">
      <c r="A538" s="465" t="s">
        <v>305</v>
      </c>
      <c r="B538" s="461">
        <v>0</v>
      </c>
      <c r="C538" s="462">
        <v>214852.05240583367</v>
      </c>
      <c r="D538" s="461">
        <v>0</v>
      </c>
      <c r="E538" s="462">
        <v>223952.81338632654</v>
      </c>
      <c r="F538" s="461">
        <v>0</v>
      </c>
      <c r="G538" s="462">
        <v>258604.58224733293</v>
      </c>
      <c r="H538" s="461">
        <v>0</v>
      </c>
      <c r="I538" s="462">
        <v>288055.59999999998</v>
      </c>
      <c r="J538" s="461">
        <v>0</v>
      </c>
      <c r="K538" s="462">
        <v>296743.44999999995</v>
      </c>
      <c r="L538" s="435"/>
      <c r="M538" s="461">
        <f t="shared" si="199"/>
        <v>0</v>
      </c>
      <c r="N538" s="462">
        <f t="shared" si="200"/>
        <v>0</v>
      </c>
      <c r="O538" s="461">
        <f t="shared" si="201"/>
        <v>0</v>
      </c>
      <c r="P538" s="462">
        <f t="shared" si="202"/>
        <v>0</v>
      </c>
      <c r="R538" s="465" t="s">
        <v>305</v>
      </c>
      <c r="S538" s="461">
        <v>0</v>
      </c>
      <c r="T538" s="462">
        <v>288055.59999999998</v>
      </c>
      <c r="U538" s="461">
        <v>0</v>
      </c>
      <c r="V538" s="462">
        <v>296743.44999999995</v>
      </c>
    </row>
    <row r="539" spans="1:22" x14ac:dyDescent="0.2">
      <c r="A539" s="465" t="s">
        <v>306</v>
      </c>
      <c r="B539" s="461">
        <v>0</v>
      </c>
      <c r="C539" s="462">
        <v>0</v>
      </c>
      <c r="D539" s="461">
        <v>0</v>
      </c>
      <c r="E539" s="462">
        <v>0</v>
      </c>
      <c r="F539" s="461">
        <v>0</v>
      </c>
      <c r="G539" s="462">
        <v>0</v>
      </c>
      <c r="H539" s="461">
        <v>0</v>
      </c>
      <c r="I539" s="462">
        <v>1334</v>
      </c>
      <c r="J539" s="461">
        <v>0</v>
      </c>
      <c r="K539" s="462">
        <v>1374</v>
      </c>
      <c r="L539" s="435"/>
      <c r="M539" s="461">
        <f t="shared" si="199"/>
        <v>0</v>
      </c>
      <c r="N539" s="462">
        <f t="shared" si="200"/>
        <v>0</v>
      </c>
      <c r="O539" s="461">
        <f t="shared" si="201"/>
        <v>0</v>
      </c>
      <c r="P539" s="462">
        <f t="shared" si="202"/>
        <v>0</v>
      </c>
      <c r="R539" s="465" t="s">
        <v>306</v>
      </c>
      <c r="S539" s="461">
        <v>0</v>
      </c>
      <c r="T539" s="462">
        <v>1334</v>
      </c>
      <c r="U539" s="461">
        <v>0</v>
      </c>
      <c r="V539" s="462">
        <v>1374</v>
      </c>
    </row>
    <row r="540" spans="1:22" x14ac:dyDescent="0.2">
      <c r="A540" s="465" t="s">
        <v>307</v>
      </c>
      <c r="B540" s="461">
        <v>0</v>
      </c>
      <c r="C540" s="462">
        <v>75854.375658858364</v>
      </c>
      <c r="D540" s="461">
        <v>0</v>
      </c>
      <c r="E540" s="462">
        <v>101424.49118432989</v>
      </c>
      <c r="F540" s="461">
        <v>0</v>
      </c>
      <c r="G540" s="462">
        <v>89441.042016278254</v>
      </c>
      <c r="H540" s="461">
        <v>0</v>
      </c>
      <c r="I540" s="462">
        <v>92000.720000000016</v>
      </c>
      <c r="J540" s="461">
        <v>0</v>
      </c>
      <c r="K540" s="462">
        <v>97007.800000000017</v>
      </c>
      <c r="L540" s="435"/>
      <c r="M540" s="461">
        <f t="shared" si="199"/>
        <v>0</v>
      </c>
      <c r="N540" s="462">
        <f t="shared" si="200"/>
        <v>0</v>
      </c>
      <c r="O540" s="461">
        <f t="shared" si="201"/>
        <v>0</v>
      </c>
      <c r="P540" s="462">
        <f t="shared" si="202"/>
        <v>0</v>
      </c>
      <c r="R540" s="465" t="s">
        <v>307</v>
      </c>
      <c r="S540" s="461">
        <v>0</v>
      </c>
      <c r="T540" s="462">
        <v>92000.720000000016</v>
      </c>
      <c r="U540" s="461">
        <v>0</v>
      </c>
      <c r="V540" s="462">
        <v>97007.800000000017</v>
      </c>
    </row>
    <row r="541" spans="1:22" x14ac:dyDescent="0.2">
      <c r="A541" s="465" t="s">
        <v>308</v>
      </c>
      <c r="B541" s="461">
        <v>0</v>
      </c>
      <c r="C541" s="462">
        <v>0</v>
      </c>
      <c r="D541" s="461">
        <v>0</v>
      </c>
      <c r="E541" s="462">
        <v>0</v>
      </c>
      <c r="F541" s="461">
        <v>0</v>
      </c>
      <c r="G541" s="462">
        <v>0</v>
      </c>
      <c r="H541" s="461">
        <v>0</v>
      </c>
      <c r="I541" s="462">
        <v>0</v>
      </c>
      <c r="J541" s="461">
        <v>0</v>
      </c>
      <c r="K541" s="462">
        <v>0</v>
      </c>
      <c r="L541" s="435"/>
      <c r="M541" s="461">
        <f t="shared" si="199"/>
        <v>0</v>
      </c>
      <c r="N541" s="462">
        <f t="shared" si="200"/>
        <v>0</v>
      </c>
      <c r="O541" s="461">
        <f t="shared" si="201"/>
        <v>0</v>
      </c>
      <c r="P541" s="462">
        <f t="shared" si="202"/>
        <v>0</v>
      </c>
      <c r="R541" s="465" t="s">
        <v>308</v>
      </c>
      <c r="S541" s="461">
        <v>0</v>
      </c>
      <c r="T541" s="462">
        <v>0</v>
      </c>
      <c r="U541" s="461">
        <v>0</v>
      </c>
      <c r="V541" s="462">
        <v>0</v>
      </c>
    </row>
    <row r="542" spans="1:22" x14ac:dyDescent="0.2">
      <c r="A542" s="465" t="s">
        <v>309</v>
      </c>
      <c r="B542" s="461">
        <v>0</v>
      </c>
      <c r="C542" s="462">
        <v>0</v>
      </c>
      <c r="D542" s="461">
        <v>0</v>
      </c>
      <c r="E542" s="462">
        <v>0</v>
      </c>
      <c r="F542" s="461">
        <v>0</v>
      </c>
      <c r="G542" s="462">
        <v>0</v>
      </c>
      <c r="H542" s="461">
        <v>0</v>
      </c>
      <c r="I542" s="462">
        <v>0</v>
      </c>
      <c r="J542" s="461">
        <v>0</v>
      </c>
      <c r="K542" s="462">
        <v>0</v>
      </c>
      <c r="L542" s="435"/>
      <c r="M542" s="461">
        <f t="shared" si="199"/>
        <v>0</v>
      </c>
      <c r="N542" s="462">
        <f t="shared" si="200"/>
        <v>0</v>
      </c>
      <c r="O542" s="461">
        <f t="shared" si="201"/>
        <v>0</v>
      </c>
      <c r="P542" s="462">
        <f t="shared" si="202"/>
        <v>0</v>
      </c>
      <c r="R542" s="465" t="s">
        <v>309</v>
      </c>
      <c r="S542" s="461">
        <v>0</v>
      </c>
      <c r="T542" s="462">
        <v>0</v>
      </c>
      <c r="U542" s="461">
        <v>0</v>
      </c>
      <c r="V542" s="462">
        <v>0</v>
      </c>
    </row>
    <row r="543" spans="1:22" x14ac:dyDescent="0.2">
      <c r="A543" s="466" t="s">
        <v>310</v>
      </c>
      <c r="B543" s="461">
        <v>0</v>
      </c>
      <c r="C543" s="462">
        <v>533366.95178734208</v>
      </c>
      <c r="D543" s="461">
        <v>0</v>
      </c>
      <c r="E543" s="462">
        <v>545410.89764164609</v>
      </c>
      <c r="F543" s="461">
        <v>0</v>
      </c>
      <c r="G543" s="462">
        <v>568536.43607071415</v>
      </c>
      <c r="H543" s="461">
        <v>0</v>
      </c>
      <c r="I543" s="492">
        <v>577613.12</v>
      </c>
      <c r="J543" s="461">
        <v>0</v>
      </c>
      <c r="K543" s="492">
        <v>595831.4</v>
      </c>
      <c r="L543" s="435"/>
      <c r="M543" s="461">
        <f t="shared" si="199"/>
        <v>0</v>
      </c>
      <c r="N543" s="492">
        <f t="shared" si="200"/>
        <v>0</v>
      </c>
      <c r="O543" s="461">
        <f t="shared" si="201"/>
        <v>0</v>
      </c>
      <c r="P543" s="492">
        <f t="shared" si="202"/>
        <v>0</v>
      </c>
      <c r="R543" s="466" t="s">
        <v>310</v>
      </c>
      <c r="S543" s="461">
        <v>0</v>
      </c>
      <c r="T543" s="492">
        <v>577613.12</v>
      </c>
      <c r="U543" s="461">
        <v>0</v>
      </c>
      <c r="V543" s="492">
        <v>595831.4</v>
      </c>
    </row>
    <row r="544" spans="1:22" ht="3" customHeight="1" x14ac:dyDescent="0.2">
      <c r="A544" s="469"/>
      <c r="B544" s="470"/>
      <c r="C544" s="471"/>
      <c r="D544" s="470"/>
      <c r="E544" s="471"/>
      <c r="F544" s="470"/>
      <c r="G544" s="471"/>
      <c r="H544" s="470"/>
      <c r="I544" s="471"/>
      <c r="J544" s="470"/>
      <c r="K544" s="471"/>
      <c r="L544" s="435"/>
      <c r="M544" s="470"/>
      <c r="N544" s="471"/>
      <c r="O544" s="470"/>
      <c r="P544" s="471"/>
      <c r="R544" s="469"/>
      <c r="S544" s="470"/>
      <c r="T544" s="471"/>
      <c r="U544" s="470"/>
      <c r="V544" s="471"/>
    </row>
    <row r="545" spans="1:22" ht="12" thickBot="1" x14ac:dyDescent="0.25">
      <c r="A545" s="472" t="s">
        <v>205</v>
      </c>
      <c r="B545" s="473">
        <f t="shared" ref="B545:G545" si="203">SUM(B534:B544)</f>
        <v>0</v>
      </c>
      <c r="C545" s="474">
        <f t="shared" si="203"/>
        <v>993025.63612760801</v>
      </c>
      <c r="D545" s="473">
        <f t="shared" si="203"/>
        <v>0</v>
      </c>
      <c r="E545" s="474">
        <f t="shared" si="203"/>
        <v>1060351.6250885045</v>
      </c>
      <c r="F545" s="473">
        <f t="shared" si="203"/>
        <v>0</v>
      </c>
      <c r="G545" s="474">
        <f t="shared" si="203"/>
        <v>1139964.7816301761</v>
      </c>
      <c r="H545" s="473">
        <v>0</v>
      </c>
      <c r="I545" s="474">
        <v>1189727.98</v>
      </c>
      <c r="J545" s="473">
        <v>0</v>
      </c>
      <c r="K545" s="474">
        <v>1230834.75</v>
      </c>
      <c r="L545" s="435"/>
      <c r="M545" s="473">
        <f>IFERROR(H545-S545,"")</f>
        <v>0</v>
      </c>
      <c r="N545" s="474">
        <f>IFERROR(I545-T545,"")</f>
        <v>0</v>
      </c>
      <c r="O545" s="473">
        <f>IFERROR(J545-U545,"")</f>
        <v>0</v>
      </c>
      <c r="P545" s="474">
        <f>IFERROR(K545-V545,"")</f>
        <v>0</v>
      </c>
      <c r="R545" s="472" t="s">
        <v>205</v>
      </c>
      <c r="S545" s="473">
        <v>0</v>
      </c>
      <c r="T545" s="474">
        <v>1189727.98</v>
      </c>
      <c r="U545" s="473">
        <v>0</v>
      </c>
      <c r="V545" s="474">
        <v>1230834.75</v>
      </c>
    </row>
    <row r="546" spans="1:22" ht="12" thickTop="1" x14ac:dyDescent="0.2">
      <c r="A546" s="475"/>
      <c r="B546" s="477"/>
      <c r="C546" s="476"/>
      <c r="D546" s="477"/>
      <c r="E546" s="476"/>
      <c r="F546" s="477"/>
      <c r="G546" s="476"/>
      <c r="H546" s="477"/>
      <c r="I546" s="476"/>
      <c r="J546" s="477"/>
      <c r="K546" s="476"/>
      <c r="L546" s="435"/>
      <c r="M546" s="477"/>
      <c r="N546" s="476"/>
      <c r="O546" s="477"/>
      <c r="P546" s="476"/>
      <c r="R546" s="475"/>
      <c r="S546" s="477"/>
      <c r="T546" s="476"/>
      <c r="U546" s="477"/>
      <c r="V546" s="476"/>
    </row>
    <row r="547" spans="1:22" ht="11.25" customHeight="1" x14ac:dyDescent="0.2">
      <c r="A547" s="495"/>
      <c r="B547" s="477"/>
      <c r="C547" s="476"/>
      <c r="D547" s="477"/>
      <c r="E547" s="476"/>
      <c r="F547" s="477"/>
      <c r="G547" s="476"/>
      <c r="H547" s="477"/>
      <c r="I547" s="476"/>
      <c r="J547" s="477"/>
      <c r="K547" s="476"/>
      <c r="L547" s="435"/>
      <c r="M547" s="477"/>
      <c r="N547" s="476"/>
      <c r="O547" s="477"/>
      <c r="P547" s="476"/>
      <c r="R547" s="495"/>
      <c r="S547" s="477"/>
      <c r="T547" s="476"/>
      <c r="U547" s="477"/>
      <c r="V547" s="476"/>
    </row>
    <row r="548" spans="1:22" ht="12.75" x14ac:dyDescent="0.2">
      <c r="A548" s="1547" t="s">
        <v>320</v>
      </c>
      <c r="B548" s="489"/>
      <c r="C548" s="488"/>
      <c r="D548" s="489"/>
      <c r="E548" s="488"/>
      <c r="F548" s="489"/>
      <c r="G548" s="488"/>
      <c r="H548" s="489"/>
      <c r="I548" s="488"/>
      <c r="J548" s="489"/>
      <c r="K548" s="488"/>
      <c r="L548" s="435" t="s">
        <v>143</v>
      </c>
      <c r="M548" s="489"/>
      <c r="N548" s="488"/>
      <c r="O548" s="489"/>
      <c r="P548" s="488"/>
      <c r="R548" s="1547" t="s">
        <v>320</v>
      </c>
      <c r="S548" s="489"/>
      <c r="T548" s="488"/>
      <c r="U548" s="489"/>
      <c r="V548" s="488"/>
    </row>
    <row r="549" spans="1:22" ht="11.25" customHeight="1" x14ac:dyDescent="0.2">
      <c r="A549" s="1548"/>
      <c r="B549" s="491"/>
      <c r="C549" s="490"/>
      <c r="D549" s="491"/>
      <c r="E549" s="490"/>
      <c r="F549" s="491"/>
      <c r="G549" s="490"/>
      <c r="H549" s="491"/>
      <c r="I549" s="490"/>
      <c r="J549" s="491"/>
      <c r="K549" s="490"/>
      <c r="L549" s="435"/>
      <c r="M549" s="491"/>
      <c r="N549" s="490"/>
      <c r="O549" s="491"/>
      <c r="P549" s="490"/>
      <c r="R549" s="1548"/>
      <c r="S549" s="491"/>
      <c r="T549" s="490"/>
      <c r="U549" s="491"/>
      <c r="V549" s="490"/>
    </row>
    <row r="550" spans="1:22" x14ac:dyDescent="0.2">
      <c r="A550" s="454" t="s">
        <v>300</v>
      </c>
      <c r="B550" s="487"/>
      <c r="C550" s="486"/>
      <c r="D550" s="487"/>
      <c r="E550" s="486"/>
      <c r="F550" s="487"/>
      <c r="G550" s="486"/>
      <c r="H550" s="487"/>
      <c r="I550" s="486"/>
      <c r="J550" s="487"/>
      <c r="K550" s="486"/>
      <c r="L550" s="435"/>
      <c r="M550" s="487"/>
      <c r="N550" s="486"/>
      <c r="O550" s="487"/>
      <c r="P550" s="486"/>
      <c r="R550" s="454" t="s">
        <v>300</v>
      </c>
      <c r="S550" s="487"/>
      <c r="T550" s="486"/>
      <c r="U550" s="487"/>
      <c r="V550" s="486"/>
    </row>
    <row r="551" spans="1:22" x14ac:dyDescent="0.2">
      <c r="A551" s="455" t="s">
        <v>301</v>
      </c>
      <c r="B551" s="456">
        <v>8.9</v>
      </c>
      <c r="C551" s="457">
        <f>SUM(C566,C581,C596,C611)</f>
        <v>1108464.0778965617</v>
      </c>
      <c r="D551" s="456">
        <v>9.75</v>
      </c>
      <c r="E551" s="457">
        <f t="shared" ref="E551:E560" si="204">SUM(E566,E581,E596,E611)</f>
        <v>1139970.0896806831</v>
      </c>
      <c r="F551" s="456">
        <v>9</v>
      </c>
      <c r="G551" s="457">
        <f t="shared" ref="G551:G560" si="205">SUM(G566,G581,G596,G611)</f>
        <v>1418635.3907930788</v>
      </c>
      <c r="H551" s="456">
        <v>8</v>
      </c>
      <c r="I551" s="457">
        <v>1000079.3600000001</v>
      </c>
      <c r="J551" s="456">
        <v>8</v>
      </c>
      <c r="K551" s="457">
        <v>1027672.24</v>
      </c>
      <c r="L551" s="435"/>
      <c r="M551" s="456">
        <f t="shared" ref="M551:M560" si="206">IFERROR(H551-S551,"")</f>
        <v>0</v>
      </c>
      <c r="N551" s="457">
        <f t="shared" ref="N551:N560" si="207">IFERROR(I551-T551,"")</f>
        <v>0</v>
      </c>
      <c r="O551" s="456">
        <f t="shared" ref="O551:O560" si="208">IFERROR(J551-U551,"")</f>
        <v>0</v>
      </c>
      <c r="P551" s="457">
        <f t="shared" ref="P551:P560" si="209">IFERROR(K551-V551,"")</f>
        <v>0</v>
      </c>
      <c r="R551" s="455" t="s">
        <v>301</v>
      </c>
      <c r="S551" s="456">
        <v>8</v>
      </c>
      <c r="T551" s="457">
        <v>1000079.3600000001</v>
      </c>
      <c r="U551" s="456">
        <v>8</v>
      </c>
      <c r="V551" s="457">
        <v>1027672.24</v>
      </c>
    </row>
    <row r="552" spans="1:22" x14ac:dyDescent="0.2">
      <c r="A552" s="465" t="s">
        <v>302</v>
      </c>
      <c r="B552" s="461">
        <v>11</v>
      </c>
      <c r="C552" s="462">
        <f t="shared" ref="C552:C560" si="210">SUM(C567,C582,C597,C612)</f>
        <v>634348.97460194945</v>
      </c>
      <c r="D552" s="461">
        <v>11</v>
      </c>
      <c r="E552" s="462">
        <f t="shared" si="204"/>
        <v>710451.78302192525</v>
      </c>
      <c r="F552" s="461">
        <v>11</v>
      </c>
      <c r="G552" s="462">
        <f t="shared" si="205"/>
        <v>760202.79977137956</v>
      </c>
      <c r="H552" s="461">
        <v>10</v>
      </c>
      <c r="I552" s="462">
        <v>750489.74000000022</v>
      </c>
      <c r="J552" s="461">
        <v>10</v>
      </c>
      <c r="K552" s="462">
        <v>770404.15</v>
      </c>
      <c r="L552" s="435"/>
      <c r="M552" s="461">
        <f t="shared" si="206"/>
        <v>0</v>
      </c>
      <c r="N552" s="462">
        <f t="shared" si="207"/>
        <v>0</v>
      </c>
      <c r="O552" s="461">
        <f t="shared" si="208"/>
        <v>0</v>
      </c>
      <c r="P552" s="462">
        <f t="shared" si="209"/>
        <v>0</v>
      </c>
      <c r="R552" s="465" t="s">
        <v>302</v>
      </c>
      <c r="S552" s="461">
        <v>10</v>
      </c>
      <c r="T552" s="462">
        <v>750489.74000000022</v>
      </c>
      <c r="U552" s="461">
        <v>10</v>
      </c>
      <c r="V552" s="462">
        <v>770404.15</v>
      </c>
    </row>
    <row r="553" spans="1:22" x14ac:dyDescent="0.2">
      <c r="A553" s="460" t="s">
        <v>303</v>
      </c>
      <c r="B553" s="461">
        <v>0</v>
      </c>
      <c r="C553" s="462">
        <f t="shared" si="210"/>
        <v>0</v>
      </c>
      <c r="D553" s="461">
        <v>0</v>
      </c>
      <c r="E553" s="462">
        <f t="shared" si="204"/>
        <v>0</v>
      </c>
      <c r="F553" s="461">
        <v>0</v>
      </c>
      <c r="G553" s="462">
        <f t="shared" si="205"/>
        <v>0</v>
      </c>
      <c r="H553" s="461">
        <v>0</v>
      </c>
      <c r="I553" s="462">
        <v>0</v>
      </c>
      <c r="J553" s="461">
        <v>0</v>
      </c>
      <c r="K553" s="462">
        <v>0</v>
      </c>
      <c r="L553" s="435"/>
      <c r="M553" s="461">
        <f t="shared" si="206"/>
        <v>0</v>
      </c>
      <c r="N553" s="462">
        <f t="shared" si="207"/>
        <v>0</v>
      </c>
      <c r="O553" s="461">
        <f t="shared" si="208"/>
        <v>0</v>
      </c>
      <c r="P553" s="462">
        <f t="shared" si="209"/>
        <v>0</v>
      </c>
      <c r="R553" s="460" t="s">
        <v>303</v>
      </c>
      <c r="S553" s="461">
        <v>0</v>
      </c>
      <c r="T553" s="462">
        <v>0</v>
      </c>
      <c r="U553" s="461">
        <v>0</v>
      </c>
      <c r="V553" s="462">
        <v>0</v>
      </c>
    </row>
    <row r="554" spans="1:22" x14ac:dyDescent="0.2">
      <c r="A554" s="465" t="s">
        <v>304</v>
      </c>
      <c r="B554" s="461">
        <v>0</v>
      </c>
      <c r="C554" s="462">
        <f t="shared" si="210"/>
        <v>0</v>
      </c>
      <c r="D554" s="461">
        <v>0</v>
      </c>
      <c r="E554" s="462">
        <f t="shared" si="204"/>
        <v>0</v>
      </c>
      <c r="F554" s="461">
        <v>0</v>
      </c>
      <c r="G554" s="462">
        <f t="shared" si="205"/>
        <v>0</v>
      </c>
      <c r="H554" s="461">
        <v>0</v>
      </c>
      <c r="I554" s="462">
        <v>0</v>
      </c>
      <c r="J554" s="461">
        <v>0</v>
      </c>
      <c r="K554" s="462">
        <v>0</v>
      </c>
      <c r="L554" s="435"/>
      <c r="M554" s="461">
        <f t="shared" si="206"/>
        <v>0</v>
      </c>
      <c r="N554" s="462">
        <f t="shared" si="207"/>
        <v>0</v>
      </c>
      <c r="O554" s="461">
        <f t="shared" si="208"/>
        <v>0</v>
      </c>
      <c r="P554" s="462">
        <f t="shared" si="209"/>
        <v>0</v>
      </c>
      <c r="R554" s="465" t="s">
        <v>304</v>
      </c>
      <c r="S554" s="461">
        <v>0</v>
      </c>
      <c r="T554" s="462">
        <v>0</v>
      </c>
      <c r="U554" s="461">
        <v>0</v>
      </c>
      <c r="V554" s="462">
        <v>0</v>
      </c>
    </row>
    <row r="555" spans="1:22" x14ac:dyDescent="0.2">
      <c r="A555" s="465" t="s">
        <v>305</v>
      </c>
      <c r="B555" s="461">
        <v>0</v>
      </c>
      <c r="C555" s="462">
        <f t="shared" si="210"/>
        <v>0</v>
      </c>
      <c r="D555" s="461">
        <v>0</v>
      </c>
      <c r="E555" s="462">
        <f t="shared" si="204"/>
        <v>0</v>
      </c>
      <c r="F555" s="461">
        <v>0</v>
      </c>
      <c r="G555" s="462">
        <f t="shared" si="205"/>
        <v>0</v>
      </c>
      <c r="H555" s="461">
        <v>0</v>
      </c>
      <c r="I555" s="462">
        <v>0</v>
      </c>
      <c r="J555" s="461">
        <v>0</v>
      </c>
      <c r="K555" s="462">
        <v>0</v>
      </c>
      <c r="L555" s="435"/>
      <c r="M555" s="461">
        <f t="shared" si="206"/>
        <v>0</v>
      </c>
      <c r="N555" s="462">
        <f t="shared" si="207"/>
        <v>0</v>
      </c>
      <c r="O555" s="461">
        <f t="shared" si="208"/>
        <v>0</v>
      </c>
      <c r="P555" s="462">
        <f t="shared" si="209"/>
        <v>0</v>
      </c>
      <c r="R555" s="465" t="s">
        <v>305</v>
      </c>
      <c r="S555" s="461">
        <v>0</v>
      </c>
      <c r="T555" s="462">
        <v>0</v>
      </c>
      <c r="U555" s="461">
        <v>0</v>
      </c>
      <c r="V555" s="462">
        <v>0</v>
      </c>
    </row>
    <row r="556" spans="1:22" x14ac:dyDescent="0.2">
      <c r="A556" s="465" t="s">
        <v>306</v>
      </c>
      <c r="B556" s="461">
        <v>0</v>
      </c>
      <c r="C556" s="462">
        <f t="shared" si="210"/>
        <v>0</v>
      </c>
      <c r="D556" s="461">
        <v>0</v>
      </c>
      <c r="E556" s="462">
        <f t="shared" si="204"/>
        <v>0</v>
      </c>
      <c r="F556" s="461">
        <v>0</v>
      </c>
      <c r="G556" s="462">
        <f t="shared" si="205"/>
        <v>0</v>
      </c>
      <c r="H556" s="461">
        <v>0</v>
      </c>
      <c r="I556" s="462">
        <v>0</v>
      </c>
      <c r="J556" s="461">
        <v>0</v>
      </c>
      <c r="K556" s="462">
        <v>0</v>
      </c>
      <c r="L556" s="435"/>
      <c r="M556" s="461">
        <f t="shared" si="206"/>
        <v>0</v>
      </c>
      <c r="N556" s="462">
        <f t="shared" si="207"/>
        <v>0</v>
      </c>
      <c r="O556" s="461">
        <f t="shared" si="208"/>
        <v>0</v>
      </c>
      <c r="P556" s="462">
        <f t="shared" si="209"/>
        <v>0</v>
      </c>
      <c r="R556" s="465" t="s">
        <v>306</v>
      </c>
      <c r="S556" s="461">
        <v>0</v>
      </c>
      <c r="T556" s="462">
        <v>0</v>
      </c>
      <c r="U556" s="461">
        <v>0</v>
      </c>
      <c r="V556" s="462">
        <v>0</v>
      </c>
    </row>
    <row r="557" spans="1:22" x14ac:dyDescent="0.2">
      <c r="A557" s="465" t="s">
        <v>307</v>
      </c>
      <c r="B557" s="461">
        <v>0</v>
      </c>
      <c r="C557" s="462">
        <f t="shared" si="210"/>
        <v>0</v>
      </c>
      <c r="D557" s="461">
        <v>0</v>
      </c>
      <c r="E557" s="462">
        <f t="shared" si="204"/>
        <v>0</v>
      </c>
      <c r="F557" s="461">
        <v>0</v>
      </c>
      <c r="G557" s="462">
        <f t="shared" si="205"/>
        <v>0</v>
      </c>
      <c r="H557" s="461">
        <v>0</v>
      </c>
      <c r="I557" s="462">
        <v>0</v>
      </c>
      <c r="J557" s="461">
        <v>0</v>
      </c>
      <c r="K557" s="462">
        <v>0</v>
      </c>
      <c r="L557" s="435"/>
      <c r="M557" s="461">
        <f t="shared" si="206"/>
        <v>0</v>
      </c>
      <c r="N557" s="462">
        <f t="shared" si="207"/>
        <v>0</v>
      </c>
      <c r="O557" s="461">
        <f t="shared" si="208"/>
        <v>0</v>
      </c>
      <c r="P557" s="462">
        <f t="shared" si="209"/>
        <v>0</v>
      </c>
      <c r="R557" s="465" t="s">
        <v>307</v>
      </c>
      <c r="S557" s="461">
        <v>0</v>
      </c>
      <c r="T557" s="462">
        <v>0</v>
      </c>
      <c r="U557" s="461">
        <v>0</v>
      </c>
      <c r="V557" s="462">
        <v>0</v>
      </c>
    </row>
    <row r="558" spans="1:22" x14ac:dyDescent="0.2">
      <c r="A558" s="465" t="s">
        <v>308</v>
      </c>
      <c r="B558" s="461">
        <v>0</v>
      </c>
      <c r="C558" s="462">
        <f t="shared" si="210"/>
        <v>0</v>
      </c>
      <c r="D558" s="461">
        <v>0</v>
      </c>
      <c r="E558" s="462">
        <f t="shared" si="204"/>
        <v>0</v>
      </c>
      <c r="F558" s="461">
        <v>0</v>
      </c>
      <c r="G558" s="462">
        <f t="shared" si="205"/>
        <v>0</v>
      </c>
      <c r="H558" s="461">
        <v>0</v>
      </c>
      <c r="I558" s="462">
        <v>0</v>
      </c>
      <c r="J558" s="461">
        <v>0</v>
      </c>
      <c r="K558" s="462">
        <v>0</v>
      </c>
      <c r="L558" s="435"/>
      <c r="M558" s="461">
        <f t="shared" si="206"/>
        <v>0</v>
      </c>
      <c r="N558" s="462">
        <f t="shared" si="207"/>
        <v>0</v>
      </c>
      <c r="O558" s="461">
        <f t="shared" si="208"/>
        <v>0</v>
      </c>
      <c r="P558" s="462">
        <f t="shared" si="209"/>
        <v>0</v>
      </c>
      <c r="R558" s="465" t="s">
        <v>308</v>
      </c>
      <c r="S558" s="461">
        <v>0</v>
      </c>
      <c r="T558" s="462">
        <v>0</v>
      </c>
      <c r="U558" s="461">
        <v>0</v>
      </c>
      <c r="V558" s="462">
        <v>0</v>
      </c>
    </row>
    <row r="559" spans="1:22" x14ac:dyDescent="0.2">
      <c r="A559" s="465" t="s">
        <v>309</v>
      </c>
      <c r="B559" s="461">
        <v>0</v>
      </c>
      <c r="C559" s="462">
        <f t="shared" si="210"/>
        <v>0</v>
      </c>
      <c r="D559" s="461">
        <v>0</v>
      </c>
      <c r="E559" s="462">
        <f t="shared" si="204"/>
        <v>0</v>
      </c>
      <c r="F559" s="461">
        <v>0</v>
      </c>
      <c r="G559" s="462">
        <f t="shared" si="205"/>
        <v>0</v>
      </c>
      <c r="H559" s="461">
        <v>0</v>
      </c>
      <c r="I559" s="462">
        <v>0</v>
      </c>
      <c r="J559" s="461">
        <v>0</v>
      </c>
      <c r="K559" s="462">
        <v>0</v>
      </c>
      <c r="L559" s="435"/>
      <c r="M559" s="461">
        <f t="shared" si="206"/>
        <v>0</v>
      </c>
      <c r="N559" s="462">
        <f t="shared" si="207"/>
        <v>0</v>
      </c>
      <c r="O559" s="461">
        <f t="shared" si="208"/>
        <v>0</v>
      </c>
      <c r="P559" s="462">
        <f t="shared" si="209"/>
        <v>0</v>
      </c>
      <c r="R559" s="465" t="s">
        <v>309</v>
      </c>
      <c r="S559" s="461">
        <v>0</v>
      </c>
      <c r="T559" s="462">
        <v>0</v>
      </c>
      <c r="U559" s="461">
        <v>0</v>
      </c>
      <c r="V559" s="462">
        <v>0</v>
      </c>
    </row>
    <row r="560" spans="1:22" x14ac:dyDescent="0.2">
      <c r="A560" s="466" t="s">
        <v>310</v>
      </c>
      <c r="B560" s="461">
        <v>0</v>
      </c>
      <c r="C560" s="462">
        <f t="shared" si="210"/>
        <v>0</v>
      </c>
      <c r="D560" s="461">
        <v>0</v>
      </c>
      <c r="E560" s="462">
        <f t="shared" si="204"/>
        <v>0</v>
      </c>
      <c r="F560" s="461">
        <v>0</v>
      </c>
      <c r="G560" s="462">
        <f t="shared" si="205"/>
        <v>0</v>
      </c>
      <c r="H560" s="461">
        <v>0</v>
      </c>
      <c r="I560" s="492">
        <v>0</v>
      </c>
      <c r="J560" s="461">
        <v>0</v>
      </c>
      <c r="K560" s="492">
        <v>0</v>
      </c>
      <c r="L560" s="435"/>
      <c r="M560" s="461">
        <f t="shared" si="206"/>
        <v>0</v>
      </c>
      <c r="N560" s="492">
        <f t="shared" si="207"/>
        <v>0</v>
      </c>
      <c r="O560" s="461">
        <f t="shared" si="208"/>
        <v>0</v>
      </c>
      <c r="P560" s="492">
        <f t="shared" si="209"/>
        <v>0</v>
      </c>
      <c r="R560" s="466" t="s">
        <v>310</v>
      </c>
      <c r="S560" s="461">
        <v>0</v>
      </c>
      <c r="T560" s="492">
        <v>0</v>
      </c>
      <c r="U560" s="461">
        <v>0</v>
      </c>
      <c r="V560" s="492">
        <v>0</v>
      </c>
    </row>
    <row r="561" spans="1:22" ht="3" customHeight="1" x14ac:dyDescent="0.2">
      <c r="A561" s="469"/>
      <c r="B561" s="470"/>
      <c r="C561" s="471"/>
      <c r="D561" s="470"/>
      <c r="E561" s="471"/>
      <c r="F561" s="470"/>
      <c r="G561" s="471"/>
      <c r="H561" s="470"/>
      <c r="I561" s="471"/>
      <c r="J561" s="470"/>
      <c r="K561" s="471"/>
      <c r="L561" s="435"/>
      <c r="M561" s="470"/>
      <c r="N561" s="471"/>
      <c r="O561" s="470"/>
      <c r="P561" s="471"/>
      <c r="R561" s="469"/>
      <c r="S561" s="470"/>
      <c r="T561" s="471"/>
      <c r="U561" s="470"/>
      <c r="V561" s="471"/>
    </row>
    <row r="562" spans="1:22" ht="12" thickBot="1" x14ac:dyDescent="0.25">
      <c r="A562" s="472" t="s">
        <v>205</v>
      </c>
      <c r="B562" s="473">
        <f t="shared" ref="B562:G562" si="211">SUM(B551:B561)</f>
        <v>19.899999999999999</v>
      </c>
      <c r="C562" s="474">
        <f t="shared" si="211"/>
        <v>1742813.052498511</v>
      </c>
      <c r="D562" s="473">
        <f t="shared" si="211"/>
        <v>20.75</v>
      </c>
      <c r="E562" s="474">
        <f t="shared" si="211"/>
        <v>1850421.8727026084</v>
      </c>
      <c r="F562" s="473">
        <f t="shared" si="211"/>
        <v>20</v>
      </c>
      <c r="G562" s="474">
        <f t="shared" si="211"/>
        <v>2178838.1905644583</v>
      </c>
      <c r="H562" s="473">
        <v>18</v>
      </c>
      <c r="I562" s="474">
        <v>1750569.1000000003</v>
      </c>
      <c r="J562" s="473">
        <v>18</v>
      </c>
      <c r="K562" s="474">
        <v>1798076.3900000001</v>
      </c>
      <c r="L562" s="435"/>
      <c r="M562" s="473">
        <f>IFERROR(H562-S562,"")</f>
        <v>0</v>
      </c>
      <c r="N562" s="474">
        <f>IFERROR(I562-T562,"")</f>
        <v>0</v>
      </c>
      <c r="O562" s="473">
        <f>IFERROR(J562-U562,"")</f>
        <v>0</v>
      </c>
      <c r="P562" s="474">
        <f>IFERROR(K562-V562,"")</f>
        <v>0</v>
      </c>
      <c r="R562" s="472" t="s">
        <v>205</v>
      </c>
      <c r="S562" s="473">
        <v>18</v>
      </c>
      <c r="T562" s="474">
        <v>1750569.1000000003</v>
      </c>
      <c r="U562" s="473">
        <v>18</v>
      </c>
      <c r="V562" s="474">
        <v>1798076.3900000001</v>
      </c>
    </row>
    <row r="563" spans="1:22" ht="12" thickTop="1" x14ac:dyDescent="0.2">
      <c r="A563" s="475"/>
      <c r="B563" s="477"/>
      <c r="C563" s="476"/>
      <c r="D563" s="477"/>
      <c r="E563" s="476"/>
      <c r="F563" s="477"/>
      <c r="G563" s="476"/>
      <c r="H563" s="477"/>
      <c r="I563" s="476"/>
      <c r="J563" s="477"/>
      <c r="K563" s="476"/>
      <c r="L563" s="435"/>
      <c r="M563" s="477"/>
      <c r="N563" s="476"/>
      <c r="O563" s="477"/>
      <c r="P563" s="476"/>
      <c r="R563" s="475"/>
      <c r="S563" s="477"/>
      <c r="T563" s="476"/>
      <c r="U563" s="477"/>
      <c r="V563" s="476"/>
    </row>
    <row r="564" spans="1:22" ht="15" customHeight="1" x14ac:dyDescent="0.2">
      <c r="A564" s="476"/>
      <c r="B564" s="477"/>
      <c r="C564" s="476"/>
      <c r="D564" s="477"/>
      <c r="E564" s="476"/>
      <c r="F564" s="477"/>
      <c r="G564" s="476"/>
      <c r="H564" s="477"/>
      <c r="I564" s="476"/>
      <c r="J564" s="477"/>
      <c r="K564" s="476"/>
      <c r="L564" s="435"/>
      <c r="M564" s="477"/>
      <c r="N564" s="476"/>
      <c r="O564" s="477"/>
      <c r="P564" s="476"/>
      <c r="R564" s="476"/>
      <c r="S564" s="477"/>
      <c r="T564" s="476"/>
      <c r="U564" s="477"/>
      <c r="V564" s="476"/>
    </row>
    <row r="565" spans="1:22" x14ac:dyDescent="0.2">
      <c r="A565" s="480" t="s">
        <v>311</v>
      </c>
      <c r="B565" s="496"/>
      <c r="C565" s="481"/>
      <c r="D565" s="496"/>
      <c r="E565" s="481"/>
      <c r="F565" s="496"/>
      <c r="G565" s="481"/>
      <c r="H565" s="496"/>
      <c r="I565" s="497"/>
      <c r="J565" s="496"/>
      <c r="K565" s="497"/>
      <c r="L565" s="435"/>
      <c r="M565" s="496"/>
      <c r="N565" s="497"/>
      <c r="O565" s="496"/>
      <c r="P565" s="497"/>
      <c r="R565" s="480" t="s">
        <v>311</v>
      </c>
      <c r="S565" s="496"/>
      <c r="T565" s="497"/>
      <c r="U565" s="496"/>
      <c r="V565" s="497"/>
    </row>
    <row r="566" spans="1:22" x14ac:dyDescent="0.2">
      <c r="A566" s="455" t="s">
        <v>301</v>
      </c>
      <c r="B566" s="456">
        <f>+B551</f>
        <v>8.9</v>
      </c>
      <c r="C566" s="457">
        <v>985715.0422263178</v>
      </c>
      <c r="D566" s="456">
        <f>+D551</f>
        <v>9.75</v>
      </c>
      <c r="E566" s="457">
        <v>994674.75098552706</v>
      </c>
      <c r="F566" s="456">
        <f>+F551</f>
        <v>9</v>
      </c>
      <c r="G566" s="457">
        <v>1226672.2172048371</v>
      </c>
      <c r="H566" s="456">
        <v>8</v>
      </c>
      <c r="I566" s="457">
        <v>850891.53</v>
      </c>
      <c r="J566" s="456">
        <v>8</v>
      </c>
      <c r="K566" s="457">
        <v>869527.43</v>
      </c>
      <c r="L566" s="435"/>
      <c r="M566" s="456">
        <f t="shared" ref="M566:M575" si="212">IFERROR(H566-S566,"")</f>
        <v>0</v>
      </c>
      <c r="N566" s="457">
        <f t="shared" ref="N566:N575" si="213">IFERROR(I566-T566,"")</f>
        <v>0</v>
      </c>
      <c r="O566" s="456">
        <f t="shared" ref="O566:O575" si="214">IFERROR(J566-U566,"")</f>
        <v>0</v>
      </c>
      <c r="P566" s="457">
        <f t="shared" ref="P566:P575" si="215">IFERROR(K566-V566,"")</f>
        <v>0</v>
      </c>
      <c r="R566" s="455" t="s">
        <v>301</v>
      </c>
      <c r="S566" s="456">
        <v>8</v>
      </c>
      <c r="T566" s="457">
        <v>850891.53</v>
      </c>
      <c r="U566" s="456">
        <v>8</v>
      </c>
      <c r="V566" s="457">
        <v>869527.43</v>
      </c>
    </row>
    <row r="567" spans="1:22" x14ac:dyDescent="0.2">
      <c r="A567" s="465" t="s">
        <v>302</v>
      </c>
      <c r="B567" s="461">
        <f>+B552</f>
        <v>11</v>
      </c>
      <c r="C567" s="462">
        <v>497960.96868981281</v>
      </c>
      <c r="D567" s="461">
        <f>+D552</f>
        <v>11</v>
      </c>
      <c r="E567" s="462">
        <v>563226.06241135241</v>
      </c>
      <c r="F567" s="461">
        <f>+F552</f>
        <v>11</v>
      </c>
      <c r="G567" s="462">
        <v>590004.42492279469</v>
      </c>
      <c r="H567" s="461">
        <v>10</v>
      </c>
      <c r="I567" s="462">
        <v>595306.92000000016</v>
      </c>
      <c r="J567" s="461">
        <v>10</v>
      </c>
      <c r="K567" s="462">
        <v>609937.59000000008</v>
      </c>
      <c r="L567" s="435"/>
      <c r="M567" s="461">
        <f t="shared" si="212"/>
        <v>0</v>
      </c>
      <c r="N567" s="462">
        <f t="shared" si="213"/>
        <v>0</v>
      </c>
      <c r="O567" s="461">
        <f t="shared" si="214"/>
        <v>0</v>
      </c>
      <c r="P567" s="462">
        <f t="shared" si="215"/>
        <v>0</v>
      </c>
      <c r="R567" s="465" t="s">
        <v>302</v>
      </c>
      <c r="S567" s="461">
        <v>10</v>
      </c>
      <c r="T567" s="462">
        <v>595306.92000000016</v>
      </c>
      <c r="U567" s="461">
        <v>10</v>
      </c>
      <c r="V567" s="462">
        <v>609937.59000000008</v>
      </c>
    </row>
    <row r="568" spans="1:22" x14ac:dyDescent="0.2">
      <c r="A568" s="460" t="s">
        <v>303</v>
      </c>
      <c r="B568" s="461">
        <v>0</v>
      </c>
      <c r="C568" s="462">
        <v>0</v>
      </c>
      <c r="D568" s="461">
        <v>0</v>
      </c>
      <c r="E568" s="462">
        <v>0</v>
      </c>
      <c r="F568" s="461">
        <v>0</v>
      </c>
      <c r="G568" s="462">
        <v>0</v>
      </c>
      <c r="H568" s="461">
        <v>0</v>
      </c>
      <c r="I568" s="462">
        <v>0</v>
      </c>
      <c r="J568" s="461">
        <v>0</v>
      </c>
      <c r="K568" s="462">
        <v>0</v>
      </c>
      <c r="L568" s="435"/>
      <c r="M568" s="461">
        <f t="shared" si="212"/>
        <v>0</v>
      </c>
      <c r="N568" s="462">
        <f t="shared" si="213"/>
        <v>0</v>
      </c>
      <c r="O568" s="461">
        <f t="shared" si="214"/>
        <v>0</v>
      </c>
      <c r="P568" s="462">
        <f t="shared" si="215"/>
        <v>0</v>
      </c>
      <c r="R568" s="460" t="s">
        <v>303</v>
      </c>
      <c r="S568" s="461">
        <v>0</v>
      </c>
      <c r="T568" s="462">
        <v>0</v>
      </c>
      <c r="U568" s="461">
        <v>0</v>
      </c>
      <c r="V568" s="462">
        <v>0</v>
      </c>
    </row>
    <row r="569" spans="1:22" x14ac:dyDescent="0.2">
      <c r="A569" s="465" t="s">
        <v>304</v>
      </c>
      <c r="B569" s="461">
        <v>0</v>
      </c>
      <c r="C569" s="462">
        <v>0</v>
      </c>
      <c r="D569" s="461">
        <v>0</v>
      </c>
      <c r="E569" s="462">
        <v>0</v>
      </c>
      <c r="F569" s="461">
        <v>0</v>
      </c>
      <c r="G569" s="462">
        <v>0</v>
      </c>
      <c r="H569" s="461">
        <v>0</v>
      </c>
      <c r="I569" s="462">
        <v>0</v>
      </c>
      <c r="J569" s="461">
        <v>0</v>
      </c>
      <c r="K569" s="462">
        <v>0</v>
      </c>
      <c r="L569" s="435"/>
      <c r="M569" s="461">
        <f t="shared" si="212"/>
        <v>0</v>
      </c>
      <c r="N569" s="462">
        <f t="shared" si="213"/>
        <v>0</v>
      </c>
      <c r="O569" s="461">
        <f t="shared" si="214"/>
        <v>0</v>
      </c>
      <c r="P569" s="462">
        <f t="shared" si="215"/>
        <v>0</v>
      </c>
      <c r="R569" s="465" t="s">
        <v>304</v>
      </c>
      <c r="S569" s="461">
        <v>0</v>
      </c>
      <c r="T569" s="462">
        <v>0</v>
      </c>
      <c r="U569" s="461">
        <v>0</v>
      </c>
      <c r="V569" s="462">
        <v>0</v>
      </c>
    </row>
    <row r="570" spans="1:22" x14ac:dyDescent="0.2">
      <c r="A570" s="465" t="s">
        <v>305</v>
      </c>
      <c r="B570" s="461">
        <v>0</v>
      </c>
      <c r="C570" s="462">
        <v>0</v>
      </c>
      <c r="D570" s="461">
        <v>0</v>
      </c>
      <c r="E570" s="462">
        <v>0</v>
      </c>
      <c r="F570" s="461">
        <v>0</v>
      </c>
      <c r="G570" s="462">
        <v>0</v>
      </c>
      <c r="H570" s="461">
        <v>0</v>
      </c>
      <c r="I570" s="462">
        <v>0</v>
      </c>
      <c r="J570" s="461">
        <v>0</v>
      </c>
      <c r="K570" s="462">
        <v>0</v>
      </c>
      <c r="L570" s="435"/>
      <c r="M570" s="461">
        <f t="shared" si="212"/>
        <v>0</v>
      </c>
      <c r="N570" s="462">
        <f t="shared" si="213"/>
        <v>0</v>
      </c>
      <c r="O570" s="461">
        <f t="shared" si="214"/>
        <v>0</v>
      </c>
      <c r="P570" s="462">
        <f t="shared" si="215"/>
        <v>0</v>
      </c>
      <c r="R570" s="465" t="s">
        <v>305</v>
      </c>
      <c r="S570" s="461">
        <v>0</v>
      </c>
      <c r="T570" s="462">
        <v>0</v>
      </c>
      <c r="U570" s="461">
        <v>0</v>
      </c>
      <c r="V570" s="462">
        <v>0</v>
      </c>
    </row>
    <row r="571" spans="1:22" x14ac:dyDescent="0.2">
      <c r="A571" s="465" t="s">
        <v>306</v>
      </c>
      <c r="B571" s="461">
        <v>0</v>
      </c>
      <c r="C571" s="462">
        <v>0</v>
      </c>
      <c r="D571" s="461">
        <v>0</v>
      </c>
      <c r="E571" s="462">
        <v>0</v>
      </c>
      <c r="F571" s="461">
        <v>0</v>
      </c>
      <c r="G571" s="462">
        <v>0</v>
      </c>
      <c r="H571" s="461">
        <v>0</v>
      </c>
      <c r="I571" s="462">
        <v>0</v>
      </c>
      <c r="J571" s="461">
        <v>0</v>
      </c>
      <c r="K571" s="462">
        <v>0</v>
      </c>
      <c r="L571" s="435"/>
      <c r="M571" s="461">
        <f t="shared" si="212"/>
        <v>0</v>
      </c>
      <c r="N571" s="462">
        <f t="shared" si="213"/>
        <v>0</v>
      </c>
      <c r="O571" s="461">
        <f t="shared" si="214"/>
        <v>0</v>
      </c>
      <c r="P571" s="462">
        <f t="shared" si="215"/>
        <v>0</v>
      </c>
      <c r="R571" s="465" t="s">
        <v>306</v>
      </c>
      <c r="S571" s="461">
        <v>0</v>
      </c>
      <c r="T571" s="462">
        <v>0</v>
      </c>
      <c r="U571" s="461">
        <v>0</v>
      </c>
      <c r="V571" s="462">
        <v>0</v>
      </c>
    </row>
    <row r="572" spans="1:22" x14ac:dyDescent="0.2">
      <c r="A572" s="465" t="s">
        <v>307</v>
      </c>
      <c r="B572" s="461">
        <v>0</v>
      </c>
      <c r="C572" s="462">
        <v>0</v>
      </c>
      <c r="D572" s="461">
        <v>0</v>
      </c>
      <c r="E572" s="462">
        <v>0</v>
      </c>
      <c r="F572" s="461">
        <v>0</v>
      </c>
      <c r="G572" s="462">
        <v>0</v>
      </c>
      <c r="H572" s="461">
        <v>0</v>
      </c>
      <c r="I572" s="462">
        <v>0</v>
      </c>
      <c r="J572" s="461">
        <v>0</v>
      </c>
      <c r="K572" s="462">
        <v>0</v>
      </c>
      <c r="L572" s="435"/>
      <c r="M572" s="461">
        <f t="shared" si="212"/>
        <v>0</v>
      </c>
      <c r="N572" s="462">
        <f t="shared" si="213"/>
        <v>0</v>
      </c>
      <c r="O572" s="461">
        <f t="shared" si="214"/>
        <v>0</v>
      </c>
      <c r="P572" s="462">
        <f t="shared" si="215"/>
        <v>0</v>
      </c>
      <c r="R572" s="465" t="s">
        <v>307</v>
      </c>
      <c r="S572" s="461">
        <v>0</v>
      </c>
      <c r="T572" s="462">
        <v>0</v>
      </c>
      <c r="U572" s="461">
        <v>0</v>
      </c>
      <c r="V572" s="462">
        <v>0</v>
      </c>
    </row>
    <row r="573" spans="1:22" x14ac:dyDescent="0.2">
      <c r="A573" s="465" t="s">
        <v>308</v>
      </c>
      <c r="B573" s="461">
        <v>0</v>
      </c>
      <c r="C573" s="462">
        <v>0</v>
      </c>
      <c r="D573" s="461">
        <v>0</v>
      </c>
      <c r="E573" s="462">
        <v>0</v>
      </c>
      <c r="F573" s="461">
        <v>0</v>
      </c>
      <c r="G573" s="462">
        <v>0</v>
      </c>
      <c r="H573" s="461">
        <v>0</v>
      </c>
      <c r="I573" s="462">
        <v>0</v>
      </c>
      <c r="J573" s="461">
        <v>0</v>
      </c>
      <c r="K573" s="462">
        <v>0</v>
      </c>
      <c r="L573" s="435"/>
      <c r="M573" s="461">
        <f t="shared" si="212"/>
        <v>0</v>
      </c>
      <c r="N573" s="462">
        <f t="shared" si="213"/>
        <v>0</v>
      </c>
      <c r="O573" s="461">
        <f t="shared" si="214"/>
        <v>0</v>
      </c>
      <c r="P573" s="462">
        <f t="shared" si="215"/>
        <v>0</v>
      </c>
      <c r="R573" s="465" t="s">
        <v>308</v>
      </c>
      <c r="S573" s="461">
        <v>0</v>
      </c>
      <c r="T573" s="462">
        <v>0</v>
      </c>
      <c r="U573" s="461">
        <v>0</v>
      </c>
      <c r="V573" s="462">
        <v>0</v>
      </c>
    </row>
    <row r="574" spans="1:22" x14ac:dyDescent="0.2">
      <c r="A574" s="465" t="s">
        <v>309</v>
      </c>
      <c r="B574" s="461">
        <v>0</v>
      </c>
      <c r="C574" s="462">
        <v>0</v>
      </c>
      <c r="D574" s="461">
        <v>0</v>
      </c>
      <c r="E574" s="462">
        <v>0</v>
      </c>
      <c r="F574" s="461">
        <v>0</v>
      </c>
      <c r="G574" s="462">
        <v>0</v>
      </c>
      <c r="H574" s="461">
        <v>0</v>
      </c>
      <c r="I574" s="462">
        <v>0</v>
      </c>
      <c r="J574" s="461">
        <v>0</v>
      </c>
      <c r="K574" s="462">
        <v>0</v>
      </c>
      <c r="L574" s="435"/>
      <c r="M574" s="461">
        <f t="shared" si="212"/>
        <v>0</v>
      </c>
      <c r="N574" s="462">
        <f t="shared" si="213"/>
        <v>0</v>
      </c>
      <c r="O574" s="461">
        <f t="shared" si="214"/>
        <v>0</v>
      </c>
      <c r="P574" s="462">
        <f t="shared" si="215"/>
        <v>0</v>
      </c>
      <c r="R574" s="465" t="s">
        <v>309</v>
      </c>
      <c r="S574" s="461">
        <v>0</v>
      </c>
      <c r="T574" s="462">
        <v>0</v>
      </c>
      <c r="U574" s="461">
        <v>0</v>
      </c>
      <c r="V574" s="462">
        <v>0</v>
      </c>
    </row>
    <row r="575" spans="1:22" x14ac:dyDescent="0.2">
      <c r="A575" s="466" t="s">
        <v>310</v>
      </c>
      <c r="B575" s="461">
        <v>0</v>
      </c>
      <c r="C575" s="462">
        <v>0</v>
      </c>
      <c r="D575" s="461">
        <v>0</v>
      </c>
      <c r="E575" s="462">
        <v>0</v>
      </c>
      <c r="F575" s="461">
        <v>0</v>
      </c>
      <c r="G575" s="462">
        <v>0</v>
      </c>
      <c r="H575" s="461">
        <v>0</v>
      </c>
      <c r="I575" s="462">
        <v>0</v>
      </c>
      <c r="J575" s="461">
        <v>0</v>
      </c>
      <c r="K575" s="462">
        <v>0</v>
      </c>
      <c r="L575" s="435"/>
      <c r="M575" s="461">
        <f t="shared" si="212"/>
        <v>0</v>
      </c>
      <c r="N575" s="462">
        <f t="shared" si="213"/>
        <v>0</v>
      </c>
      <c r="O575" s="461">
        <f t="shared" si="214"/>
        <v>0</v>
      </c>
      <c r="P575" s="462">
        <f t="shared" si="215"/>
        <v>0</v>
      </c>
      <c r="R575" s="466" t="s">
        <v>310</v>
      </c>
      <c r="S575" s="461">
        <v>0</v>
      </c>
      <c r="T575" s="462">
        <v>0</v>
      </c>
      <c r="U575" s="461">
        <v>0</v>
      </c>
      <c r="V575" s="462">
        <v>0</v>
      </c>
    </row>
    <row r="576" spans="1:22" ht="3" customHeight="1" x14ac:dyDescent="0.2">
      <c r="A576" s="469"/>
      <c r="B576" s="470"/>
      <c r="C576" s="471"/>
      <c r="D576" s="470"/>
      <c r="E576" s="471"/>
      <c r="F576" s="470"/>
      <c r="G576" s="471"/>
      <c r="H576" s="470"/>
      <c r="I576" s="471"/>
      <c r="J576" s="470"/>
      <c r="K576" s="471"/>
      <c r="L576" s="435"/>
      <c r="M576" s="470"/>
      <c r="N576" s="471"/>
      <c r="O576" s="470"/>
      <c r="P576" s="471"/>
      <c r="R576" s="469"/>
      <c r="S576" s="470"/>
      <c r="T576" s="471"/>
      <c r="U576" s="470"/>
      <c r="V576" s="471"/>
    </row>
    <row r="577" spans="1:22" ht="12" thickBot="1" x14ac:dyDescent="0.25">
      <c r="A577" s="472" t="s">
        <v>205</v>
      </c>
      <c r="B577" s="473">
        <f t="shared" ref="B577:G577" si="216">SUM(B566:B576)</f>
        <v>19.899999999999999</v>
      </c>
      <c r="C577" s="474">
        <f t="shared" si="216"/>
        <v>1483676.0109161306</v>
      </c>
      <c r="D577" s="473">
        <f t="shared" si="216"/>
        <v>20.75</v>
      </c>
      <c r="E577" s="474">
        <f t="shared" si="216"/>
        <v>1557900.8133968795</v>
      </c>
      <c r="F577" s="473">
        <f t="shared" si="216"/>
        <v>20</v>
      </c>
      <c r="G577" s="474">
        <f t="shared" si="216"/>
        <v>1816676.6421276317</v>
      </c>
      <c r="H577" s="473">
        <v>18</v>
      </c>
      <c r="I577" s="474">
        <v>1446198.4500000002</v>
      </c>
      <c r="J577" s="473">
        <v>18</v>
      </c>
      <c r="K577" s="474">
        <v>1479465.02</v>
      </c>
      <c r="L577" s="435"/>
      <c r="M577" s="473">
        <f>IFERROR(H577-S577,"")</f>
        <v>0</v>
      </c>
      <c r="N577" s="474">
        <f>IFERROR(I577-T577,"")</f>
        <v>0</v>
      </c>
      <c r="O577" s="473">
        <f>IFERROR(J577-U577,"")</f>
        <v>0</v>
      </c>
      <c r="P577" s="474">
        <f>IFERROR(K577-V577,"")</f>
        <v>0</v>
      </c>
      <c r="R577" s="472" t="s">
        <v>205</v>
      </c>
      <c r="S577" s="473">
        <v>18</v>
      </c>
      <c r="T577" s="474">
        <v>1446198.4500000002</v>
      </c>
      <c r="U577" s="473">
        <v>18</v>
      </c>
      <c r="V577" s="474">
        <v>1479465.02</v>
      </c>
    </row>
    <row r="578" spans="1:22" ht="12" thickTop="1" x14ac:dyDescent="0.2">
      <c r="A578" s="475"/>
      <c r="B578" s="477"/>
      <c r="C578" s="476"/>
      <c r="D578" s="477"/>
      <c r="E578" s="476"/>
      <c r="F578" s="477"/>
      <c r="G578" s="476"/>
      <c r="H578" s="477"/>
      <c r="I578" s="476"/>
      <c r="J578" s="477"/>
      <c r="K578" s="476"/>
      <c r="L578" s="435"/>
      <c r="M578" s="477"/>
      <c r="N578" s="476"/>
      <c r="O578" s="477"/>
      <c r="P578" s="476"/>
      <c r="R578" s="475"/>
      <c r="S578" s="477"/>
      <c r="T578" s="476"/>
      <c r="U578" s="477"/>
      <c r="V578" s="476"/>
    </row>
    <row r="579" spans="1:22" ht="12.75" x14ac:dyDescent="0.2">
      <c r="A579" s="476"/>
      <c r="B579" s="498"/>
      <c r="C579" s="483"/>
      <c r="D579" s="498"/>
      <c r="E579" s="483"/>
      <c r="F579" s="498"/>
      <c r="G579" s="483"/>
      <c r="H579" s="498"/>
      <c r="I579" s="499"/>
      <c r="J579" s="498"/>
      <c r="K579" s="499"/>
      <c r="L579" s="435"/>
      <c r="M579" s="498"/>
      <c r="N579" s="499"/>
      <c r="O579" s="498"/>
      <c r="P579" s="499"/>
      <c r="R579" s="476"/>
      <c r="S579" s="498"/>
      <c r="T579" s="499"/>
      <c r="U579" s="498"/>
      <c r="V579" s="499"/>
    </row>
    <row r="580" spans="1:22" x14ac:dyDescent="0.2">
      <c r="A580" s="485" t="s">
        <v>312</v>
      </c>
      <c r="B580" s="500"/>
      <c r="C580" s="486"/>
      <c r="D580" s="500"/>
      <c r="E580" s="486"/>
      <c r="F580" s="500"/>
      <c r="G580" s="486"/>
      <c r="H580" s="500"/>
      <c r="I580" s="501"/>
      <c r="J580" s="500"/>
      <c r="K580" s="501"/>
      <c r="L580" s="435"/>
      <c r="M580" s="500"/>
      <c r="N580" s="501"/>
      <c r="O580" s="500"/>
      <c r="P580" s="501"/>
      <c r="R580" s="485" t="s">
        <v>312</v>
      </c>
      <c r="S580" s="500"/>
      <c r="T580" s="501"/>
      <c r="U580" s="500"/>
      <c r="V580" s="501"/>
    </row>
    <row r="581" spans="1:22" x14ac:dyDescent="0.2">
      <c r="A581" s="455" t="s">
        <v>301</v>
      </c>
      <c r="B581" s="456">
        <v>0</v>
      </c>
      <c r="C581" s="457">
        <v>122749.035670244</v>
      </c>
      <c r="D581" s="456">
        <v>0</v>
      </c>
      <c r="E581" s="457">
        <v>145295.3386951561</v>
      </c>
      <c r="F581" s="456">
        <v>0</v>
      </c>
      <c r="G581" s="457">
        <v>191963.17358824163</v>
      </c>
      <c r="H581" s="456">
        <v>0</v>
      </c>
      <c r="I581" s="457">
        <v>149187.83000000002</v>
      </c>
      <c r="J581" s="456">
        <v>0</v>
      </c>
      <c r="K581" s="457">
        <v>158144.81</v>
      </c>
      <c r="L581" s="435"/>
      <c r="M581" s="456">
        <f t="shared" ref="M581:M590" si="217">IFERROR(H581-S581,"")</f>
        <v>0</v>
      </c>
      <c r="N581" s="457">
        <f t="shared" ref="N581:N590" si="218">IFERROR(I581-T581,"")</f>
        <v>0</v>
      </c>
      <c r="O581" s="456">
        <f t="shared" ref="O581:O590" si="219">IFERROR(J581-U581,"")</f>
        <v>0</v>
      </c>
      <c r="P581" s="457">
        <f t="shared" ref="P581:P590" si="220">IFERROR(K581-V581,"")</f>
        <v>0</v>
      </c>
      <c r="R581" s="455" t="s">
        <v>301</v>
      </c>
      <c r="S581" s="456">
        <v>0</v>
      </c>
      <c r="T581" s="457">
        <v>149187.83000000002</v>
      </c>
      <c r="U581" s="456">
        <v>0</v>
      </c>
      <c r="V581" s="457">
        <v>158144.81</v>
      </c>
    </row>
    <row r="582" spans="1:22" x14ac:dyDescent="0.2">
      <c r="A582" s="465" t="s">
        <v>302</v>
      </c>
      <c r="B582" s="461">
        <v>0</v>
      </c>
      <c r="C582" s="462">
        <v>103845.32775082569</v>
      </c>
      <c r="D582" s="461">
        <v>0</v>
      </c>
      <c r="E582" s="462">
        <v>107639.0839101914</v>
      </c>
      <c r="F582" s="461">
        <v>0</v>
      </c>
      <c r="G582" s="462">
        <v>112985.49748615654</v>
      </c>
      <c r="H582" s="461">
        <v>0</v>
      </c>
      <c r="I582" s="462">
        <v>103379.51</v>
      </c>
      <c r="J582" s="461">
        <v>0</v>
      </c>
      <c r="K582" s="462">
        <v>107108.96</v>
      </c>
      <c r="L582" s="435"/>
      <c r="M582" s="461">
        <f t="shared" si="217"/>
        <v>0</v>
      </c>
      <c r="N582" s="462">
        <f t="shared" si="218"/>
        <v>0</v>
      </c>
      <c r="O582" s="461">
        <f t="shared" si="219"/>
        <v>0</v>
      </c>
      <c r="P582" s="462">
        <f t="shared" si="220"/>
        <v>0</v>
      </c>
      <c r="R582" s="465" t="s">
        <v>302</v>
      </c>
      <c r="S582" s="461">
        <v>0</v>
      </c>
      <c r="T582" s="462">
        <v>103379.51</v>
      </c>
      <c r="U582" s="461">
        <v>0</v>
      </c>
      <c r="V582" s="462">
        <v>107108.96</v>
      </c>
    </row>
    <row r="583" spans="1:22" x14ac:dyDescent="0.2">
      <c r="A583" s="460" t="s">
        <v>303</v>
      </c>
      <c r="B583" s="461">
        <v>0</v>
      </c>
      <c r="C583" s="462">
        <v>0</v>
      </c>
      <c r="D583" s="461">
        <v>0</v>
      </c>
      <c r="E583" s="462">
        <v>0</v>
      </c>
      <c r="F583" s="461">
        <v>0</v>
      </c>
      <c r="G583" s="462">
        <v>0</v>
      </c>
      <c r="H583" s="461">
        <v>0</v>
      </c>
      <c r="I583" s="462">
        <v>0</v>
      </c>
      <c r="J583" s="461">
        <v>0</v>
      </c>
      <c r="K583" s="462">
        <v>0</v>
      </c>
      <c r="L583" s="435"/>
      <c r="M583" s="461">
        <f t="shared" si="217"/>
        <v>0</v>
      </c>
      <c r="N583" s="462">
        <f t="shared" si="218"/>
        <v>0</v>
      </c>
      <c r="O583" s="461">
        <f t="shared" si="219"/>
        <v>0</v>
      </c>
      <c r="P583" s="462">
        <f t="shared" si="220"/>
        <v>0</v>
      </c>
      <c r="R583" s="460" t="s">
        <v>303</v>
      </c>
      <c r="S583" s="461">
        <v>0</v>
      </c>
      <c r="T583" s="462">
        <v>0</v>
      </c>
      <c r="U583" s="461">
        <v>0</v>
      </c>
      <c r="V583" s="462">
        <v>0</v>
      </c>
    </row>
    <row r="584" spans="1:22" x14ac:dyDescent="0.2">
      <c r="A584" s="465" t="s">
        <v>304</v>
      </c>
      <c r="B584" s="461">
        <v>0</v>
      </c>
      <c r="C584" s="462">
        <v>0</v>
      </c>
      <c r="D584" s="461">
        <v>0</v>
      </c>
      <c r="E584" s="462">
        <v>0</v>
      </c>
      <c r="F584" s="461">
        <v>0</v>
      </c>
      <c r="G584" s="462">
        <v>0</v>
      </c>
      <c r="H584" s="461">
        <v>0</v>
      </c>
      <c r="I584" s="462">
        <v>0</v>
      </c>
      <c r="J584" s="461">
        <v>0</v>
      </c>
      <c r="K584" s="462">
        <v>0</v>
      </c>
      <c r="L584" s="435"/>
      <c r="M584" s="461">
        <f t="shared" si="217"/>
        <v>0</v>
      </c>
      <c r="N584" s="462">
        <f t="shared" si="218"/>
        <v>0</v>
      </c>
      <c r="O584" s="461">
        <f t="shared" si="219"/>
        <v>0</v>
      </c>
      <c r="P584" s="462">
        <f t="shared" si="220"/>
        <v>0</v>
      </c>
      <c r="R584" s="465" t="s">
        <v>304</v>
      </c>
      <c r="S584" s="461">
        <v>0</v>
      </c>
      <c r="T584" s="462">
        <v>0</v>
      </c>
      <c r="U584" s="461">
        <v>0</v>
      </c>
      <c r="V584" s="462">
        <v>0</v>
      </c>
    </row>
    <row r="585" spans="1:22" x14ac:dyDescent="0.2">
      <c r="A585" s="465" t="s">
        <v>305</v>
      </c>
      <c r="B585" s="461">
        <v>0</v>
      </c>
      <c r="C585" s="462">
        <v>0</v>
      </c>
      <c r="D585" s="461">
        <v>0</v>
      </c>
      <c r="E585" s="462">
        <v>0</v>
      </c>
      <c r="F585" s="461">
        <v>0</v>
      </c>
      <c r="G585" s="462">
        <v>0</v>
      </c>
      <c r="H585" s="461">
        <v>0</v>
      </c>
      <c r="I585" s="462">
        <v>0</v>
      </c>
      <c r="J585" s="461">
        <v>0</v>
      </c>
      <c r="K585" s="462">
        <v>0</v>
      </c>
      <c r="L585" s="435"/>
      <c r="M585" s="461">
        <f t="shared" si="217"/>
        <v>0</v>
      </c>
      <c r="N585" s="462">
        <f t="shared" si="218"/>
        <v>0</v>
      </c>
      <c r="O585" s="461">
        <f t="shared" si="219"/>
        <v>0</v>
      </c>
      <c r="P585" s="462">
        <f t="shared" si="220"/>
        <v>0</v>
      </c>
      <c r="R585" s="465" t="s">
        <v>305</v>
      </c>
      <c r="S585" s="461">
        <v>0</v>
      </c>
      <c r="T585" s="462">
        <v>0</v>
      </c>
      <c r="U585" s="461">
        <v>0</v>
      </c>
      <c r="V585" s="462">
        <v>0</v>
      </c>
    </row>
    <row r="586" spans="1:22" x14ac:dyDescent="0.2">
      <c r="A586" s="465" t="s">
        <v>306</v>
      </c>
      <c r="B586" s="461">
        <v>0</v>
      </c>
      <c r="C586" s="462">
        <v>0</v>
      </c>
      <c r="D586" s="461">
        <v>0</v>
      </c>
      <c r="E586" s="462">
        <v>0</v>
      </c>
      <c r="F586" s="461">
        <v>0</v>
      </c>
      <c r="G586" s="462">
        <v>0</v>
      </c>
      <c r="H586" s="461">
        <v>0</v>
      </c>
      <c r="I586" s="462">
        <v>0</v>
      </c>
      <c r="J586" s="461">
        <v>0</v>
      </c>
      <c r="K586" s="462">
        <v>0</v>
      </c>
      <c r="L586" s="435"/>
      <c r="M586" s="461">
        <f t="shared" si="217"/>
        <v>0</v>
      </c>
      <c r="N586" s="462">
        <f t="shared" si="218"/>
        <v>0</v>
      </c>
      <c r="O586" s="461">
        <f t="shared" si="219"/>
        <v>0</v>
      </c>
      <c r="P586" s="462">
        <f t="shared" si="220"/>
        <v>0</v>
      </c>
      <c r="R586" s="465" t="s">
        <v>306</v>
      </c>
      <c r="S586" s="461">
        <v>0</v>
      </c>
      <c r="T586" s="462">
        <v>0</v>
      </c>
      <c r="U586" s="461">
        <v>0</v>
      </c>
      <c r="V586" s="462">
        <v>0</v>
      </c>
    </row>
    <row r="587" spans="1:22" x14ac:dyDescent="0.2">
      <c r="A587" s="465" t="s">
        <v>307</v>
      </c>
      <c r="B587" s="461">
        <v>0</v>
      </c>
      <c r="C587" s="462">
        <v>0</v>
      </c>
      <c r="D587" s="461">
        <v>0</v>
      </c>
      <c r="E587" s="462">
        <v>0</v>
      </c>
      <c r="F587" s="461">
        <v>0</v>
      </c>
      <c r="G587" s="462">
        <v>0</v>
      </c>
      <c r="H587" s="461">
        <v>0</v>
      </c>
      <c r="I587" s="462">
        <v>0</v>
      </c>
      <c r="J587" s="461">
        <v>0</v>
      </c>
      <c r="K587" s="462">
        <v>0</v>
      </c>
      <c r="L587" s="435"/>
      <c r="M587" s="461">
        <f t="shared" si="217"/>
        <v>0</v>
      </c>
      <c r="N587" s="462">
        <f t="shared" si="218"/>
        <v>0</v>
      </c>
      <c r="O587" s="461">
        <f t="shared" si="219"/>
        <v>0</v>
      </c>
      <c r="P587" s="462">
        <f t="shared" si="220"/>
        <v>0</v>
      </c>
      <c r="R587" s="465" t="s">
        <v>307</v>
      </c>
      <c r="S587" s="461">
        <v>0</v>
      </c>
      <c r="T587" s="462">
        <v>0</v>
      </c>
      <c r="U587" s="461">
        <v>0</v>
      </c>
      <c r="V587" s="462">
        <v>0</v>
      </c>
    </row>
    <row r="588" spans="1:22" x14ac:dyDescent="0.2">
      <c r="A588" s="465" t="s">
        <v>308</v>
      </c>
      <c r="B588" s="461">
        <v>0</v>
      </c>
      <c r="C588" s="462">
        <v>0</v>
      </c>
      <c r="D588" s="461">
        <v>0</v>
      </c>
      <c r="E588" s="462">
        <v>0</v>
      </c>
      <c r="F588" s="461">
        <v>0</v>
      </c>
      <c r="G588" s="462">
        <v>0</v>
      </c>
      <c r="H588" s="461">
        <v>0</v>
      </c>
      <c r="I588" s="462">
        <v>0</v>
      </c>
      <c r="J588" s="461">
        <v>0</v>
      </c>
      <c r="K588" s="462">
        <v>0</v>
      </c>
      <c r="L588" s="435"/>
      <c r="M588" s="461">
        <f t="shared" si="217"/>
        <v>0</v>
      </c>
      <c r="N588" s="462">
        <f t="shared" si="218"/>
        <v>0</v>
      </c>
      <c r="O588" s="461">
        <f t="shared" si="219"/>
        <v>0</v>
      </c>
      <c r="P588" s="462">
        <f t="shared" si="220"/>
        <v>0</v>
      </c>
      <c r="R588" s="465" t="s">
        <v>308</v>
      </c>
      <c r="S588" s="461">
        <v>0</v>
      </c>
      <c r="T588" s="462">
        <v>0</v>
      </c>
      <c r="U588" s="461">
        <v>0</v>
      </c>
      <c r="V588" s="462">
        <v>0</v>
      </c>
    </row>
    <row r="589" spans="1:22" x14ac:dyDescent="0.2">
      <c r="A589" s="465" t="s">
        <v>309</v>
      </c>
      <c r="B589" s="461">
        <v>0</v>
      </c>
      <c r="C589" s="462">
        <v>0</v>
      </c>
      <c r="D589" s="461">
        <v>0</v>
      </c>
      <c r="E589" s="462">
        <v>0</v>
      </c>
      <c r="F589" s="461">
        <v>0</v>
      </c>
      <c r="G589" s="462">
        <v>0</v>
      </c>
      <c r="H589" s="461">
        <v>0</v>
      </c>
      <c r="I589" s="462">
        <v>0</v>
      </c>
      <c r="J589" s="461">
        <v>0</v>
      </c>
      <c r="K589" s="462">
        <v>0</v>
      </c>
      <c r="L589" s="435"/>
      <c r="M589" s="461">
        <f t="shared" si="217"/>
        <v>0</v>
      </c>
      <c r="N589" s="462">
        <f t="shared" si="218"/>
        <v>0</v>
      </c>
      <c r="O589" s="461">
        <f t="shared" si="219"/>
        <v>0</v>
      </c>
      <c r="P589" s="462">
        <f t="shared" si="220"/>
        <v>0</v>
      </c>
      <c r="R589" s="465" t="s">
        <v>309</v>
      </c>
      <c r="S589" s="461">
        <v>0</v>
      </c>
      <c r="T589" s="462">
        <v>0</v>
      </c>
      <c r="U589" s="461">
        <v>0</v>
      </c>
      <c r="V589" s="462">
        <v>0</v>
      </c>
    </row>
    <row r="590" spans="1:22" x14ac:dyDescent="0.2">
      <c r="A590" s="466" t="s">
        <v>310</v>
      </c>
      <c r="B590" s="461">
        <v>0</v>
      </c>
      <c r="C590" s="462">
        <v>0</v>
      </c>
      <c r="D590" s="461">
        <v>0</v>
      </c>
      <c r="E590" s="462">
        <v>0</v>
      </c>
      <c r="F590" s="461">
        <v>0</v>
      </c>
      <c r="G590" s="462">
        <v>0</v>
      </c>
      <c r="H590" s="461">
        <v>0</v>
      </c>
      <c r="I590" s="492">
        <v>0</v>
      </c>
      <c r="J590" s="461">
        <v>0</v>
      </c>
      <c r="K590" s="492">
        <v>0</v>
      </c>
      <c r="L590" s="435"/>
      <c r="M590" s="461">
        <f t="shared" si="217"/>
        <v>0</v>
      </c>
      <c r="N590" s="492">
        <f t="shared" si="218"/>
        <v>0</v>
      </c>
      <c r="O590" s="461">
        <f t="shared" si="219"/>
        <v>0</v>
      </c>
      <c r="P590" s="492">
        <f t="shared" si="220"/>
        <v>0</v>
      </c>
      <c r="R590" s="466" t="s">
        <v>310</v>
      </c>
      <c r="S590" s="461">
        <v>0</v>
      </c>
      <c r="T590" s="492">
        <v>0</v>
      </c>
      <c r="U590" s="461">
        <v>0</v>
      </c>
      <c r="V590" s="492">
        <v>0</v>
      </c>
    </row>
    <row r="591" spans="1:22" ht="3" customHeight="1" x14ac:dyDescent="0.2">
      <c r="A591" s="469"/>
      <c r="B591" s="470"/>
      <c r="C591" s="471"/>
      <c r="D591" s="470"/>
      <c r="E591" s="471"/>
      <c r="F591" s="470"/>
      <c r="G591" s="471"/>
      <c r="H591" s="470"/>
      <c r="I591" s="471"/>
      <c r="J591" s="470"/>
      <c r="K591" s="471"/>
      <c r="L591" s="435"/>
      <c r="M591" s="470"/>
      <c r="N591" s="471"/>
      <c r="O591" s="470"/>
      <c r="P591" s="471"/>
      <c r="R591" s="469"/>
      <c r="S591" s="470"/>
      <c r="T591" s="471"/>
      <c r="U591" s="470"/>
      <c r="V591" s="471"/>
    </row>
    <row r="592" spans="1:22" ht="12" thickBot="1" x14ac:dyDescent="0.25">
      <c r="A592" s="472" t="s">
        <v>205</v>
      </c>
      <c r="B592" s="502">
        <f t="shared" ref="B592:G592" si="221">SUM(B581:B591)</f>
        <v>0</v>
      </c>
      <c r="C592" s="474">
        <f t="shared" si="221"/>
        <v>226594.36342106969</v>
      </c>
      <c r="D592" s="502">
        <f t="shared" si="221"/>
        <v>0</v>
      </c>
      <c r="E592" s="474">
        <f t="shared" si="221"/>
        <v>252934.4226053475</v>
      </c>
      <c r="F592" s="502">
        <f t="shared" si="221"/>
        <v>0</v>
      </c>
      <c r="G592" s="474">
        <f t="shared" si="221"/>
        <v>304948.67107439815</v>
      </c>
      <c r="H592" s="502">
        <v>0</v>
      </c>
      <c r="I592" s="474">
        <v>252567.34000000003</v>
      </c>
      <c r="J592" s="502">
        <v>0</v>
      </c>
      <c r="K592" s="474">
        <v>265253.77</v>
      </c>
      <c r="L592" s="435"/>
      <c r="M592" s="502">
        <f>IFERROR(H592-S592,"")</f>
        <v>0</v>
      </c>
      <c r="N592" s="474">
        <f>IFERROR(I592-T592,"")</f>
        <v>0</v>
      </c>
      <c r="O592" s="502">
        <f>IFERROR(J592-U592,"")</f>
        <v>0</v>
      </c>
      <c r="P592" s="474">
        <f>IFERROR(K592-V592,"")</f>
        <v>0</v>
      </c>
      <c r="R592" s="472" t="s">
        <v>205</v>
      </c>
      <c r="S592" s="502">
        <v>0</v>
      </c>
      <c r="T592" s="474">
        <v>252567.34000000003</v>
      </c>
      <c r="U592" s="502">
        <v>0</v>
      </c>
      <c r="V592" s="474">
        <v>265253.77</v>
      </c>
    </row>
    <row r="593" spans="1:22" ht="12" thickTop="1" x14ac:dyDescent="0.2">
      <c r="A593" s="475"/>
      <c r="B593" s="477"/>
      <c r="C593" s="476"/>
      <c r="D593" s="477"/>
      <c r="E593" s="476"/>
      <c r="F593" s="477"/>
      <c r="G593" s="476"/>
      <c r="H593" s="477"/>
      <c r="I593" s="476"/>
      <c r="J593" s="477"/>
      <c r="K593" s="476"/>
      <c r="L593" s="435"/>
      <c r="M593" s="477"/>
      <c r="N593" s="476"/>
      <c r="O593" s="477"/>
      <c r="P593" s="476"/>
      <c r="R593" s="475"/>
      <c r="S593" s="477"/>
      <c r="T593" s="476"/>
      <c r="U593" s="477"/>
      <c r="V593" s="476"/>
    </row>
    <row r="594" spans="1:22" ht="11.25" customHeight="1" x14ac:dyDescent="0.2">
      <c r="A594" s="476"/>
      <c r="B594" s="477"/>
      <c r="C594" s="476"/>
      <c r="D594" s="477"/>
      <c r="E594" s="476"/>
      <c r="F594" s="477"/>
      <c r="G594" s="476"/>
      <c r="H594" s="477"/>
      <c r="I594" s="476"/>
      <c r="J594" s="477"/>
      <c r="K594" s="476"/>
      <c r="L594" s="435"/>
      <c r="M594" s="477"/>
      <c r="N594" s="476"/>
      <c r="O594" s="477"/>
      <c r="P594" s="476"/>
      <c r="R594" s="476"/>
      <c r="S594" s="477"/>
      <c r="T594" s="476"/>
      <c r="U594" s="477"/>
      <c r="V594" s="476"/>
    </row>
    <row r="595" spans="1:22" ht="11.25" customHeight="1" x14ac:dyDescent="0.2">
      <c r="A595" s="480" t="s">
        <v>313</v>
      </c>
      <c r="B595" s="500"/>
      <c r="C595" s="486"/>
      <c r="D595" s="500"/>
      <c r="E595" s="486"/>
      <c r="F595" s="500"/>
      <c r="G595" s="486"/>
      <c r="H595" s="500"/>
      <c r="I595" s="501"/>
      <c r="J595" s="500"/>
      <c r="K595" s="501"/>
      <c r="L595" s="435"/>
      <c r="M595" s="500"/>
      <c r="N595" s="501"/>
      <c r="O595" s="500"/>
      <c r="P595" s="501"/>
      <c r="R595" s="480" t="s">
        <v>313</v>
      </c>
      <c r="S595" s="500"/>
      <c r="T595" s="501"/>
      <c r="U595" s="500"/>
      <c r="V595" s="501"/>
    </row>
    <row r="596" spans="1:22" x14ac:dyDescent="0.2">
      <c r="A596" s="455" t="s">
        <v>301</v>
      </c>
      <c r="B596" s="456">
        <v>0</v>
      </c>
      <c r="C596" s="457">
        <v>0</v>
      </c>
      <c r="D596" s="456">
        <v>0</v>
      </c>
      <c r="E596" s="457">
        <v>0</v>
      </c>
      <c r="F596" s="456">
        <v>0</v>
      </c>
      <c r="G596" s="457">
        <v>0</v>
      </c>
      <c r="H596" s="456">
        <v>0</v>
      </c>
      <c r="I596" s="457">
        <v>0</v>
      </c>
      <c r="J596" s="456">
        <v>0</v>
      </c>
      <c r="K596" s="457">
        <v>0</v>
      </c>
      <c r="L596" s="435"/>
      <c r="M596" s="456">
        <f t="shared" ref="M596:M605" si="222">IFERROR(H596-S596,"")</f>
        <v>0</v>
      </c>
      <c r="N596" s="457">
        <f t="shared" ref="N596:N605" si="223">IFERROR(I596-T596,"")</f>
        <v>0</v>
      </c>
      <c r="O596" s="456">
        <f t="shared" ref="O596:O605" si="224">IFERROR(J596-U596,"")</f>
        <v>0</v>
      </c>
      <c r="P596" s="457">
        <f t="shared" ref="P596:P605" si="225">IFERROR(K596-V596,"")</f>
        <v>0</v>
      </c>
      <c r="R596" s="455" t="s">
        <v>301</v>
      </c>
      <c r="S596" s="456">
        <v>0</v>
      </c>
      <c r="T596" s="457">
        <v>0</v>
      </c>
      <c r="U596" s="456">
        <v>0</v>
      </c>
      <c r="V596" s="457">
        <v>0</v>
      </c>
    </row>
    <row r="597" spans="1:22" x14ac:dyDescent="0.2">
      <c r="A597" s="465" t="s">
        <v>302</v>
      </c>
      <c r="B597" s="461">
        <v>0</v>
      </c>
      <c r="C597" s="462">
        <v>32542.678161310931</v>
      </c>
      <c r="D597" s="461">
        <v>0</v>
      </c>
      <c r="E597" s="462">
        <v>39586.636700381416</v>
      </c>
      <c r="F597" s="461">
        <v>0</v>
      </c>
      <c r="G597" s="462">
        <v>55689.762602113733</v>
      </c>
      <c r="H597" s="461">
        <v>0</v>
      </c>
      <c r="I597" s="462">
        <v>51803.310000000005</v>
      </c>
      <c r="J597" s="461">
        <v>0</v>
      </c>
      <c r="K597" s="462">
        <v>53357.600000000006</v>
      </c>
      <c r="L597" s="435"/>
      <c r="M597" s="461">
        <f t="shared" si="222"/>
        <v>0</v>
      </c>
      <c r="N597" s="462">
        <f t="shared" si="223"/>
        <v>0</v>
      </c>
      <c r="O597" s="461">
        <f t="shared" si="224"/>
        <v>0</v>
      </c>
      <c r="P597" s="462">
        <f t="shared" si="225"/>
        <v>0</v>
      </c>
      <c r="R597" s="465" t="s">
        <v>302</v>
      </c>
      <c r="S597" s="461">
        <v>0</v>
      </c>
      <c r="T597" s="462">
        <v>51803.310000000005</v>
      </c>
      <c r="U597" s="461">
        <v>0</v>
      </c>
      <c r="V597" s="462">
        <v>53357.600000000006</v>
      </c>
    </row>
    <row r="598" spans="1:22" x14ac:dyDescent="0.2">
      <c r="A598" s="460" t="s">
        <v>303</v>
      </c>
      <c r="B598" s="461">
        <v>0</v>
      </c>
      <c r="C598" s="462">
        <v>0</v>
      </c>
      <c r="D598" s="461">
        <v>0</v>
      </c>
      <c r="E598" s="462">
        <v>0</v>
      </c>
      <c r="F598" s="461">
        <v>0</v>
      </c>
      <c r="G598" s="462">
        <v>0</v>
      </c>
      <c r="H598" s="461">
        <v>0</v>
      </c>
      <c r="I598" s="462">
        <v>0</v>
      </c>
      <c r="J598" s="461">
        <v>0</v>
      </c>
      <c r="K598" s="462">
        <v>0</v>
      </c>
      <c r="L598" s="435"/>
      <c r="M598" s="461">
        <f t="shared" si="222"/>
        <v>0</v>
      </c>
      <c r="N598" s="462">
        <f t="shared" si="223"/>
        <v>0</v>
      </c>
      <c r="O598" s="461">
        <f t="shared" si="224"/>
        <v>0</v>
      </c>
      <c r="P598" s="462">
        <f t="shared" si="225"/>
        <v>0</v>
      </c>
      <c r="R598" s="460" t="s">
        <v>303</v>
      </c>
      <c r="S598" s="461">
        <v>0</v>
      </c>
      <c r="T598" s="462">
        <v>0</v>
      </c>
      <c r="U598" s="461">
        <v>0</v>
      </c>
      <c r="V598" s="462">
        <v>0</v>
      </c>
    </row>
    <row r="599" spans="1:22" x14ac:dyDescent="0.2">
      <c r="A599" s="465" t="s">
        <v>304</v>
      </c>
      <c r="B599" s="461">
        <v>0</v>
      </c>
      <c r="C599" s="462">
        <v>0</v>
      </c>
      <c r="D599" s="461">
        <v>0</v>
      </c>
      <c r="E599" s="462">
        <v>0</v>
      </c>
      <c r="F599" s="461">
        <v>0</v>
      </c>
      <c r="G599" s="462">
        <v>0</v>
      </c>
      <c r="H599" s="461">
        <v>0</v>
      </c>
      <c r="I599" s="462">
        <v>0</v>
      </c>
      <c r="J599" s="461">
        <v>0</v>
      </c>
      <c r="K599" s="462">
        <v>0</v>
      </c>
      <c r="L599" s="435"/>
      <c r="M599" s="461">
        <f t="shared" si="222"/>
        <v>0</v>
      </c>
      <c r="N599" s="462">
        <f t="shared" si="223"/>
        <v>0</v>
      </c>
      <c r="O599" s="461">
        <f t="shared" si="224"/>
        <v>0</v>
      </c>
      <c r="P599" s="462">
        <f t="shared" si="225"/>
        <v>0</v>
      </c>
      <c r="R599" s="465" t="s">
        <v>304</v>
      </c>
      <c r="S599" s="461">
        <v>0</v>
      </c>
      <c r="T599" s="462">
        <v>0</v>
      </c>
      <c r="U599" s="461">
        <v>0</v>
      </c>
      <c r="V599" s="462">
        <v>0</v>
      </c>
    </row>
    <row r="600" spans="1:22" x14ac:dyDescent="0.2">
      <c r="A600" s="465" t="s">
        <v>305</v>
      </c>
      <c r="B600" s="461">
        <v>0</v>
      </c>
      <c r="C600" s="462">
        <v>0</v>
      </c>
      <c r="D600" s="461">
        <v>0</v>
      </c>
      <c r="E600" s="462">
        <v>0</v>
      </c>
      <c r="F600" s="461">
        <v>0</v>
      </c>
      <c r="G600" s="462">
        <v>0</v>
      </c>
      <c r="H600" s="461">
        <v>0</v>
      </c>
      <c r="I600" s="462">
        <v>0</v>
      </c>
      <c r="J600" s="461">
        <v>0</v>
      </c>
      <c r="K600" s="462">
        <v>0</v>
      </c>
      <c r="L600" s="435"/>
      <c r="M600" s="461">
        <f t="shared" si="222"/>
        <v>0</v>
      </c>
      <c r="N600" s="462">
        <f t="shared" si="223"/>
        <v>0</v>
      </c>
      <c r="O600" s="461">
        <f t="shared" si="224"/>
        <v>0</v>
      </c>
      <c r="P600" s="462">
        <f t="shared" si="225"/>
        <v>0</v>
      </c>
      <c r="R600" s="465" t="s">
        <v>305</v>
      </c>
      <c r="S600" s="461">
        <v>0</v>
      </c>
      <c r="T600" s="462">
        <v>0</v>
      </c>
      <c r="U600" s="461">
        <v>0</v>
      </c>
      <c r="V600" s="462">
        <v>0</v>
      </c>
    </row>
    <row r="601" spans="1:22" x14ac:dyDescent="0.2">
      <c r="A601" s="465" t="s">
        <v>306</v>
      </c>
      <c r="B601" s="461">
        <v>0</v>
      </c>
      <c r="C601" s="462">
        <v>0</v>
      </c>
      <c r="D601" s="461">
        <v>0</v>
      </c>
      <c r="E601" s="462">
        <v>0</v>
      </c>
      <c r="F601" s="461">
        <v>0</v>
      </c>
      <c r="G601" s="462">
        <v>0</v>
      </c>
      <c r="H601" s="461">
        <v>0</v>
      </c>
      <c r="I601" s="462">
        <v>0</v>
      </c>
      <c r="J601" s="461">
        <v>0</v>
      </c>
      <c r="K601" s="462">
        <v>0</v>
      </c>
      <c r="L601" s="435"/>
      <c r="M601" s="461">
        <f t="shared" si="222"/>
        <v>0</v>
      </c>
      <c r="N601" s="462">
        <f t="shared" si="223"/>
        <v>0</v>
      </c>
      <c r="O601" s="461">
        <f t="shared" si="224"/>
        <v>0</v>
      </c>
      <c r="P601" s="462">
        <f t="shared" si="225"/>
        <v>0</v>
      </c>
      <c r="R601" s="465" t="s">
        <v>306</v>
      </c>
      <c r="S601" s="461">
        <v>0</v>
      </c>
      <c r="T601" s="462">
        <v>0</v>
      </c>
      <c r="U601" s="461">
        <v>0</v>
      </c>
      <c r="V601" s="462">
        <v>0</v>
      </c>
    </row>
    <row r="602" spans="1:22" x14ac:dyDescent="0.2">
      <c r="A602" s="465" t="s">
        <v>307</v>
      </c>
      <c r="B602" s="461">
        <v>0</v>
      </c>
      <c r="C602" s="462">
        <v>0</v>
      </c>
      <c r="D602" s="461">
        <v>0</v>
      </c>
      <c r="E602" s="462">
        <v>0</v>
      </c>
      <c r="F602" s="461">
        <v>0</v>
      </c>
      <c r="G602" s="462">
        <v>0</v>
      </c>
      <c r="H602" s="461">
        <v>0</v>
      </c>
      <c r="I602" s="462">
        <v>0</v>
      </c>
      <c r="J602" s="461">
        <v>0</v>
      </c>
      <c r="K602" s="462">
        <v>0</v>
      </c>
      <c r="L602" s="435"/>
      <c r="M602" s="461">
        <f t="shared" si="222"/>
        <v>0</v>
      </c>
      <c r="N602" s="462">
        <f t="shared" si="223"/>
        <v>0</v>
      </c>
      <c r="O602" s="461">
        <f t="shared" si="224"/>
        <v>0</v>
      </c>
      <c r="P602" s="462">
        <f t="shared" si="225"/>
        <v>0</v>
      </c>
      <c r="R602" s="465" t="s">
        <v>307</v>
      </c>
      <c r="S602" s="461">
        <v>0</v>
      </c>
      <c r="T602" s="462">
        <v>0</v>
      </c>
      <c r="U602" s="461">
        <v>0</v>
      </c>
      <c r="V602" s="462">
        <v>0</v>
      </c>
    </row>
    <row r="603" spans="1:22" x14ac:dyDescent="0.2">
      <c r="A603" s="465" t="s">
        <v>308</v>
      </c>
      <c r="B603" s="461">
        <v>0</v>
      </c>
      <c r="C603" s="462">
        <v>0</v>
      </c>
      <c r="D603" s="461">
        <v>0</v>
      </c>
      <c r="E603" s="462">
        <v>0</v>
      </c>
      <c r="F603" s="461">
        <v>0</v>
      </c>
      <c r="G603" s="462">
        <v>0</v>
      </c>
      <c r="H603" s="461">
        <v>0</v>
      </c>
      <c r="I603" s="462">
        <v>0</v>
      </c>
      <c r="J603" s="461">
        <v>0</v>
      </c>
      <c r="K603" s="462">
        <v>0</v>
      </c>
      <c r="L603" s="435"/>
      <c r="M603" s="461">
        <f t="shared" si="222"/>
        <v>0</v>
      </c>
      <c r="N603" s="462">
        <f t="shared" si="223"/>
        <v>0</v>
      </c>
      <c r="O603" s="461">
        <f t="shared" si="224"/>
        <v>0</v>
      </c>
      <c r="P603" s="462">
        <f t="shared" si="225"/>
        <v>0</v>
      </c>
      <c r="R603" s="465" t="s">
        <v>308</v>
      </c>
      <c r="S603" s="461">
        <v>0</v>
      </c>
      <c r="T603" s="462">
        <v>0</v>
      </c>
      <c r="U603" s="461">
        <v>0</v>
      </c>
      <c r="V603" s="462">
        <v>0</v>
      </c>
    </row>
    <row r="604" spans="1:22" x14ac:dyDescent="0.2">
      <c r="A604" s="465" t="s">
        <v>309</v>
      </c>
      <c r="B604" s="461">
        <v>0</v>
      </c>
      <c r="C604" s="462">
        <v>0</v>
      </c>
      <c r="D604" s="461">
        <v>0</v>
      </c>
      <c r="E604" s="462">
        <v>0</v>
      </c>
      <c r="F604" s="461">
        <v>0</v>
      </c>
      <c r="G604" s="462">
        <v>0</v>
      </c>
      <c r="H604" s="461">
        <v>0</v>
      </c>
      <c r="I604" s="462">
        <v>0</v>
      </c>
      <c r="J604" s="461">
        <v>0</v>
      </c>
      <c r="K604" s="462">
        <v>0</v>
      </c>
      <c r="L604" s="435"/>
      <c r="M604" s="461">
        <f t="shared" si="222"/>
        <v>0</v>
      </c>
      <c r="N604" s="462">
        <f t="shared" si="223"/>
        <v>0</v>
      </c>
      <c r="O604" s="461">
        <f t="shared" si="224"/>
        <v>0</v>
      </c>
      <c r="P604" s="462">
        <f t="shared" si="225"/>
        <v>0</v>
      </c>
      <c r="R604" s="465" t="s">
        <v>309</v>
      </c>
      <c r="S604" s="461">
        <v>0</v>
      </c>
      <c r="T604" s="462">
        <v>0</v>
      </c>
      <c r="U604" s="461">
        <v>0</v>
      </c>
      <c r="V604" s="462">
        <v>0</v>
      </c>
    </row>
    <row r="605" spans="1:22" x14ac:dyDescent="0.2">
      <c r="A605" s="466" t="s">
        <v>310</v>
      </c>
      <c r="B605" s="461">
        <v>0</v>
      </c>
      <c r="C605" s="462">
        <v>0</v>
      </c>
      <c r="D605" s="461">
        <v>0</v>
      </c>
      <c r="E605" s="462">
        <v>0</v>
      </c>
      <c r="F605" s="461">
        <v>0</v>
      </c>
      <c r="G605" s="462">
        <v>0</v>
      </c>
      <c r="H605" s="461">
        <v>0</v>
      </c>
      <c r="I605" s="492">
        <v>0</v>
      </c>
      <c r="J605" s="461">
        <v>0</v>
      </c>
      <c r="K605" s="492">
        <v>0</v>
      </c>
      <c r="L605" s="435"/>
      <c r="M605" s="461">
        <f t="shared" si="222"/>
        <v>0</v>
      </c>
      <c r="N605" s="492">
        <f t="shared" si="223"/>
        <v>0</v>
      </c>
      <c r="O605" s="461">
        <f t="shared" si="224"/>
        <v>0</v>
      </c>
      <c r="P605" s="492">
        <f t="shared" si="225"/>
        <v>0</v>
      </c>
      <c r="R605" s="466" t="s">
        <v>310</v>
      </c>
      <c r="S605" s="461">
        <v>0</v>
      </c>
      <c r="T605" s="492">
        <v>0</v>
      </c>
      <c r="U605" s="461">
        <v>0</v>
      </c>
      <c r="V605" s="492">
        <v>0</v>
      </c>
    </row>
    <row r="606" spans="1:22" ht="3" customHeight="1" x14ac:dyDescent="0.2">
      <c r="A606" s="469"/>
      <c r="B606" s="470"/>
      <c r="C606" s="471"/>
      <c r="D606" s="470"/>
      <c r="E606" s="471"/>
      <c r="F606" s="470"/>
      <c r="G606" s="471"/>
      <c r="H606" s="470"/>
      <c r="I606" s="471"/>
      <c r="J606" s="470"/>
      <c r="K606" s="471"/>
      <c r="L606" s="435"/>
      <c r="M606" s="470"/>
      <c r="N606" s="471"/>
      <c r="O606" s="470"/>
      <c r="P606" s="471"/>
      <c r="R606" s="469"/>
      <c r="S606" s="470"/>
      <c r="T606" s="471"/>
      <c r="U606" s="470"/>
      <c r="V606" s="471"/>
    </row>
    <row r="607" spans="1:22" ht="12" thickBot="1" x14ac:dyDescent="0.25">
      <c r="A607" s="472" t="s">
        <v>205</v>
      </c>
      <c r="B607" s="502">
        <f t="shared" ref="B607:G607" si="226">SUM(B596:B606)</f>
        <v>0</v>
      </c>
      <c r="C607" s="474">
        <f t="shared" si="226"/>
        <v>32542.678161310931</v>
      </c>
      <c r="D607" s="502">
        <f t="shared" si="226"/>
        <v>0</v>
      </c>
      <c r="E607" s="474">
        <f t="shared" si="226"/>
        <v>39586.636700381416</v>
      </c>
      <c r="F607" s="502">
        <f t="shared" si="226"/>
        <v>0</v>
      </c>
      <c r="G607" s="474">
        <f t="shared" si="226"/>
        <v>55689.762602113733</v>
      </c>
      <c r="H607" s="502">
        <v>0</v>
      </c>
      <c r="I607" s="474">
        <v>51803.310000000005</v>
      </c>
      <c r="J607" s="502">
        <v>0</v>
      </c>
      <c r="K607" s="474">
        <v>53357.600000000006</v>
      </c>
      <c r="L607" s="435"/>
      <c r="M607" s="502">
        <f>IFERROR(H607-S607,"")</f>
        <v>0</v>
      </c>
      <c r="N607" s="474">
        <f>IFERROR(I607-T607,"")</f>
        <v>0</v>
      </c>
      <c r="O607" s="502">
        <f>IFERROR(J607-U607,"")</f>
        <v>0</v>
      </c>
      <c r="P607" s="474">
        <f>IFERROR(K607-V607,"")</f>
        <v>0</v>
      </c>
      <c r="R607" s="472" t="s">
        <v>205</v>
      </c>
      <c r="S607" s="502">
        <v>0</v>
      </c>
      <c r="T607" s="474">
        <v>51803.310000000005</v>
      </c>
      <c r="U607" s="502">
        <v>0</v>
      </c>
      <c r="V607" s="474">
        <v>53357.600000000006</v>
      </c>
    </row>
    <row r="608" spans="1:22" ht="12" thickTop="1" x14ac:dyDescent="0.2">
      <c r="A608" s="475"/>
      <c r="B608" s="477"/>
      <c r="C608" s="476"/>
      <c r="D608" s="477"/>
      <c r="E608" s="476"/>
      <c r="F608" s="477"/>
      <c r="G608" s="476"/>
      <c r="H608" s="477"/>
      <c r="I608" s="476"/>
      <c r="J608" s="477"/>
      <c r="K608" s="476"/>
      <c r="L608" s="435"/>
      <c r="M608" s="477"/>
      <c r="N608" s="476"/>
      <c r="O608" s="477"/>
      <c r="P608" s="476"/>
      <c r="R608" s="475"/>
      <c r="S608" s="477"/>
      <c r="T608" s="476"/>
      <c r="U608" s="477"/>
      <c r="V608" s="476"/>
    </row>
    <row r="609" spans="1:22" x14ac:dyDescent="0.2">
      <c r="A609" s="476"/>
      <c r="B609" s="477"/>
      <c r="C609" s="476"/>
      <c r="D609" s="477"/>
      <c r="E609" s="476"/>
      <c r="F609" s="477"/>
      <c r="G609" s="476"/>
      <c r="H609" s="477"/>
      <c r="I609" s="476"/>
      <c r="J609" s="477"/>
      <c r="K609" s="476"/>
      <c r="L609" s="435"/>
      <c r="M609" s="477"/>
      <c r="N609" s="476"/>
      <c r="O609" s="477"/>
      <c r="P609" s="476"/>
      <c r="R609" s="476"/>
      <c r="S609" s="477"/>
      <c r="T609" s="476"/>
      <c r="U609" s="477"/>
      <c r="V609" s="476"/>
    </row>
    <row r="610" spans="1:22" x14ac:dyDescent="0.2">
      <c r="A610" s="480" t="s">
        <v>314</v>
      </c>
      <c r="B610" s="496"/>
      <c r="C610" s="481"/>
      <c r="D610" s="496"/>
      <c r="E610" s="481"/>
      <c r="F610" s="496"/>
      <c r="G610" s="481"/>
      <c r="H610" s="496"/>
      <c r="I610" s="497"/>
      <c r="J610" s="496"/>
      <c r="K610" s="497"/>
      <c r="L610" s="435"/>
      <c r="M610" s="496"/>
      <c r="N610" s="497"/>
      <c r="O610" s="496"/>
      <c r="P610" s="497"/>
      <c r="R610" s="480" t="s">
        <v>314</v>
      </c>
      <c r="S610" s="496"/>
      <c r="T610" s="497"/>
      <c r="U610" s="496"/>
      <c r="V610" s="497"/>
    </row>
    <row r="611" spans="1:22" x14ac:dyDescent="0.2">
      <c r="A611" s="455" t="s">
        <v>301</v>
      </c>
      <c r="B611" s="456">
        <v>0</v>
      </c>
      <c r="C611" s="457">
        <v>0</v>
      </c>
      <c r="D611" s="456">
        <v>0</v>
      </c>
      <c r="E611" s="457">
        <v>0</v>
      </c>
      <c r="F611" s="456">
        <v>0</v>
      </c>
      <c r="G611" s="457">
        <v>0</v>
      </c>
      <c r="H611" s="456">
        <v>0</v>
      </c>
      <c r="I611" s="457">
        <v>0</v>
      </c>
      <c r="J611" s="456">
        <v>0</v>
      </c>
      <c r="K611" s="457">
        <v>0</v>
      </c>
      <c r="L611" s="435"/>
      <c r="M611" s="456">
        <f t="shared" ref="M611:M620" si="227">IFERROR(H611-S611,"")</f>
        <v>0</v>
      </c>
      <c r="N611" s="457">
        <f t="shared" ref="N611:N620" si="228">IFERROR(I611-T611,"")</f>
        <v>0</v>
      </c>
      <c r="O611" s="456">
        <f t="shared" ref="O611:O620" si="229">IFERROR(J611-U611,"")</f>
        <v>0</v>
      </c>
      <c r="P611" s="457">
        <f t="shared" ref="P611:P620" si="230">IFERROR(K611-V611,"")</f>
        <v>0</v>
      </c>
      <c r="R611" s="455" t="s">
        <v>301</v>
      </c>
      <c r="S611" s="456">
        <v>0</v>
      </c>
      <c r="T611" s="457">
        <v>0</v>
      </c>
      <c r="U611" s="456">
        <v>0</v>
      </c>
      <c r="V611" s="457">
        <v>0</v>
      </c>
    </row>
    <row r="612" spans="1:22" x14ac:dyDescent="0.2">
      <c r="A612" s="465" t="s">
        <v>302</v>
      </c>
      <c r="B612" s="461">
        <v>0</v>
      </c>
      <c r="C612" s="462">
        <v>0</v>
      </c>
      <c r="D612" s="461">
        <v>0</v>
      </c>
      <c r="E612" s="462">
        <v>0</v>
      </c>
      <c r="F612" s="461">
        <v>0</v>
      </c>
      <c r="G612" s="462">
        <v>1523.1147603145312</v>
      </c>
      <c r="H612" s="461">
        <v>0</v>
      </c>
      <c r="I612" s="462">
        <v>0</v>
      </c>
      <c r="J612" s="461">
        <v>0</v>
      </c>
      <c r="K612" s="462">
        <v>0</v>
      </c>
      <c r="L612" s="435"/>
      <c r="M612" s="461">
        <f t="shared" si="227"/>
        <v>0</v>
      </c>
      <c r="N612" s="462">
        <f t="shared" si="228"/>
        <v>0</v>
      </c>
      <c r="O612" s="461">
        <f t="shared" si="229"/>
        <v>0</v>
      </c>
      <c r="P612" s="462">
        <f t="shared" si="230"/>
        <v>0</v>
      </c>
      <c r="R612" s="465" t="s">
        <v>302</v>
      </c>
      <c r="S612" s="461">
        <v>0</v>
      </c>
      <c r="T612" s="462">
        <v>0</v>
      </c>
      <c r="U612" s="461">
        <v>0</v>
      </c>
      <c r="V612" s="462">
        <v>0</v>
      </c>
    </row>
    <row r="613" spans="1:22" x14ac:dyDescent="0.2">
      <c r="A613" s="460" t="s">
        <v>303</v>
      </c>
      <c r="B613" s="461">
        <v>0</v>
      </c>
      <c r="C613" s="462">
        <v>0</v>
      </c>
      <c r="D613" s="461">
        <v>0</v>
      </c>
      <c r="E613" s="462">
        <v>0</v>
      </c>
      <c r="F613" s="461">
        <v>0</v>
      </c>
      <c r="G613" s="462">
        <v>0</v>
      </c>
      <c r="H613" s="461">
        <v>0</v>
      </c>
      <c r="I613" s="462">
        <v>0</v>
      </c>
      <c r="J613" s="461">
        <v>0</v>
      </c>
      <c r="K613" s="462">
        <v>0</v>
      </c>
      <c r="L613" s="435"/>
      <c r="M613" s="461">
        <f t="shared" si="227"/>
        <v>0</v>
      </c>
      <c r="N613" s="462">
        <f t="shared" si="228"/>
        <v>0</v>
      </c>
      <c r="O613" s="461">
        <f t="shared" si="229"/>
        <v>0</v>
      </c>
      <c r="P613" s="462">
        <f t="shared" si="230"/>
        <v>0</v>
      </c>
      <c r="R613" s="460" t="s">
        <v>303</v>
      </c>
      <c r="S613" s="461">
        <v>0</v>
      </c>
      <c r="T613" s="462">
        <v>0</v>
      </c>
      <c r="U613" s="461">
        <v>0</v>
      </c>
      <c r="V613" s="462">
        <v>0</v>
      </c>
    </row>
    <row r="614" spans="1:22" x14ac:dyDescent="0.2">
      <c r="A614" s="465" t="s">
        <v>304</v>
      </c>
      <c r="B614" s="461">
        <v>0</v>
      </c>
      <c r="C614" s="462">
        <v>0</v>
      </c>
      <c r="D614" s="461">
        <v>0</v>
      </c>
      <c r="E614" s="462">
        <v>0</v>
      </c>
      <c r="F614" s="461">
        <v>0</v>
      </c>
      <c r="G614" s="462">
        <v>0</v>
      </c>
      <c r="H614" s="461">
        <v>0</v>
      </c>
      <c r="I614" s="462">
        <v>0</v>
      </c>
      <c r="J614" s="461">
        <v>0</v>
      </c>
      <c r="K614" s="462">
        <v>0</v>
      </c>
      <c r="L614" s="435"/>
      <c r="M614" s="461">
        <f t="shared" si="227"/>
        <v>0</v>
      </c>
      <c r="N614" s="462">
        <f t="shared" si="228"/>
        <v>0</v>
      </c>
      <c r="O614" s="461">
        <f t="shared" si="229"/>
        <v>0</v>
      </c>
      <c r="P614" s="462">
        <f t="shared" si="230"/>
        <v>0</v>
      </c>
      <c r="R614" s="465" t="s">
        <v>304</v>
      </c>
      <c r="S614" s="461">
        <v>0</v>
      </c>
      <c r="T614" s="462">
        <v>0</v>
      </c>
      <c r="U614" s="461">
        <v>0</v>
      </c>
      <c r="V614" s="462">
        <v>0</v>
      </c>
    </row>
    <row r="615" spans="1:22" x14ac:dyDescent="0.2">
      <c r="A615" s="465" t="s">
        <v>305</v>
      </c>
      <c r="B615" s="461">
        <v>0</v>
      </c>
      <c r="C615" s="462">
        <v>0</v>
      </c>
      <c r="D615" s="461">
        <v>0</v>
      </c>
      <c r="E615" s="462">
        <v>0</v>
      </c>
      <c r="F615" s="461">
        <v>0</v>
      </c>
      <c r="G615" s="462">
        <v>0</v>
      </c>
      <c r="H615" s="461">
        <v>0</v>
      </c>
      <c r="I615" s="462">
        <v>0</v>
      </c>
      <c r="J615" s="461">
        <v>0</v>
      </c>
      <c r="K615" s="462">
        <v>0</v>
      </c>
      <c r="L615" s="435"/>
      <c r="M615" s="461">
        <f t="shared" si="227"/>
        <v>0</v>
      </c>
      <c r="N615" s="462">
        <f t="shared" si="228"/>
        <v>0</v>
      </c>
      <c r="O615" s="461">
        <f t="shared" si="229"/>
        <v>0</v>
      </c>
      <c r="P615" s="462">
        <f t="shared" si="230"/>
        <v>0</v>
      </c>
      <c r="R615" s="465" t="s">
        <v>305</v>
      </c>
      <c r="S615" s="461">
        <v>0</v>
      </c>
      <c r="T615" s="462">
        <v>0</v>
      </c>
      <c r="U615" s="461">
        <v>0</v>
      </c>
      <c r="V615" s="462">
        <v>0</v>
      </c>
    </row>
    <row r="616" spans="1:22" x14ac:dyDescent="0.2">
      <c r="A616" s="465" t="s">
        <v>306</v>
      </c>
      <c r="B616" s="461">
        <v>0</v>
      </c>
      <c r="C616" s="462">
        <v>0</v>
      </c>
      <c r="D616" s="461">
        <v>0</v>
      </c>
      <c r="E616" s="462">
        <v>0</v>
      </c>
      <c r="F616" s="461">
        <v>0</v>
      </c>
      <c r="G616" s="462">
        <v>0</v>
      </c>
      <c r="H616" s="461">
        <v>0</v>
      </c>
      <c r="I616" s="462">
        <v>0</v>
      </c>
      <c r="J616" s="461">
        <v>0</v>
      </c>
      <c r="K616" s="462">
        <v>0</v>
      </c>
      <c r="L616" s="435"/>
      <c r="M616" s="461">
        <f t="shared" si="227"/>
        <v>0</v>
      </c>
      <c r="N616" s="462">
        <f t="shared" si="228"/>
        <v>0</v>
      </c>
      <c r="O616" s="461">
        <f t="shared" si="229"/>
        <v>0</v>
      </c>
      <c r="P616" s="462">
        <f t="shared" si="230"/>
        <v>0</v>
      </c>
      <c r="R616" s="465" t="s">
        <v>306</v>
      </c>
      <c r="S616" s="461">
        <v>0</v>
      </c>
      <c r="T616" s="462">
        <v>0</v>
      </c>
      <c r="U616" s="461">
        <v>0</v>
      </c>
      <c r="V616" s="462">
        <v>0</v>
      </c>
    </row>
    <row r="617" spans="1:22" x14ac:dyDescent="0.2">
      <c r="A617" s="465" t="s">
        <v>307</v>
      </c>
      <c r="B617" s="461">
        <v>0</v>
      </c>
      <c r="C617" s="462">
        <v>0</v>
      </c>
      <c r="D617" s="461">
        <v>0</v>
      </c>
      <c r="E617" s="462">
        <v>0</v>
      </c>
      <c r="F617" s="461">
        <v>0</v>
      </c>
      <c r="G617" s="462">
        <v>0</v>
      </c>
      <c r="H617" s="461">
        <v>0</v>
      </c>
      <c r="I617" s="462">
        <v>0</v>
      </c>
      <c r="J617" s="461">
        <v>0</v>
      </c>
      <c r="K617" s="462">
        <v>0</v>
      </c>
      <c r="L617" s="435"/>
      <c r="M617" s="461">
        <f t="shared" si="227"/>
        <v>0</v>
      </c>
      <c r="N617" s="462">
        <f t="shared" si="228"/>
        <v>0</v>
      </c>
      <c r="O617" s="461">
        <f t="shared" si="229"/>
        <v>0</v>
      </c>
      <c r="P617" s="462">
        <f t="shared" si="230"/>
        <v>0</v>
      </c>
      <c r="R617" s="465" t="s">
        <v>307</v>
      </c>
      <c r="S617" s="461">
        <v>0</v>
      </c>
      <c r="T617" s="462">
        <v>0</v>
      </c>
      <c r="U617" s="461">
        <v>0</v>
      </c>
      <c r="V617" s="462">
        <v>0</v>
      </c>
    </row>
    <row r="618" spans="1:22" x14ac:dyDescent="0.2">
      <c r="A618" s="465" t="s">
        <v>308</v>
      </c>
      <c r="B618" s="461">
        <v>0</v>
      </c>
      <c r="C618" s="462">
        <v>0</v>
      </c>
      <c r="D618" s="461">
        <v>0</v>
      </c>
      <c r="E618" s="462">
        <v>0</v>
      </c>
      <c r="F618" s="461">
        <v>0</v>
      </c>
      <c r="G618" s="462">
        <v>0</v>
      </c>
      <c r="H618" s="461">
        <v>0</v>
      </c>
      <c r="I618" s="462">
        <v>0</v>
      </c>
      <c r="J618" s="461">
        <v>0</v>
      </c>
      <c r="K618" s="462">
        <v>0</v>
      </c>
      <c r="L618" s="435"/>
      <c r="M618" s="461">
        <f t="shared" si="227"/>
        <v>0</v>
      </c>
      <c r="N618" s="462">
        <f t="shared" si="228"/>
        <v>0</v>
      </c>
      <c r="O618" s="461">
        <f t="shared" si="229"/>
        <v>0</v>
      </c>
      <c r="P618" s="462">
        <f t="shared" si="230"/>
        <v>0</v>
      </c>
      <c r="R618" s="465" t="s">
        <v>308</v>
      </c>
      <c r="S618" s="461">
        <v>0</v>
      </c>
      <c r="T618" s="462">
        <v>0</v>
      </c>
      <c r="U618" s="461">
        <v>0</v>
      </c>
      <c r="V618" s="462">
        <v>0</v>
      </c>
    </row>
    <row r="619" spans="1:22" x14ac:dyDescent="0.2">
      <c r="A619" s="465" t="s">
        <v>309</v>
      </c>
      <c r="B619" s="461">
        <v>0</v>
      </c>
      <c r="C619" s="462">
        <v>0</v>
      </c>
      <c r="D619" s="461">
        <v>0</v>
      </c>
      <c r="E619" s="462">
        <v>0</v>
      </c>
      <c r="F619" s="461">
        <v>0</v>
      </c>
      <c r="G619" s="462">
        <v>0</v>
      </c>
      <c r="H619" s="461">
        <v>0</v>
      </c>
      <c r="I619" s="462">
        <v>0</v>
      </c>
      <c r="J619" s="461">
        <v>0</v>
      </c>
      <c r="K619" s="462">
        <v>0</v>
      </c>
      <c r="L619" s="435"/>
      <c r="M619" s="461">
        <f t="shared" si="227"/>
        <v>0</v>
      </c>
      <c r="N619" s="462">
        <f t="shared" si="228"/>
        <v>0</v>
      </c>
      <c r="O619" s="461">
        <f t="shared" si="229"/>
        <v>0</v>
      </c>
      <c r="P619" s="462">
        <f t="shared" si="230"/>
        <v>0</v>
      </c>
      <c r="R619" s="465" t="s">
        <v>309</v>
      </c>
      <c r="S619" s="461">
        <v>0</v>
      </c>
      <c r="T619" s="462">
        <v>0</v>
      </c>
      <c r="U619" s="461">
        <v>0</v>
      </c>
      <c r="V619" s="462">
        <v>0</v>
      </c>
    </row>
    <row r="620" spans="1:22" x14ac:dyDescent="0.2">
      <c r="A620" s="466" t="s">
        <v>310</v>
      </c>
      <c r="B620" s="461">
        <v>0</v>
      </c>
      <c r="C620" s="462">
        <v>0</v>
      </c>
      <c r="D620" s="461">
        <v>0</v>
      </c>
      <c r="E620" s="462">
        <v>0</v>
      </c>
      <c r="F620" s="461">
        <v>0</v>
      </c>
      <c r="G620" s="462">
        <v>0</v>
      </c>
      <c r="H620" s="461">
        <v>0</v>
      </c>
      <c r="I620" s="492">
        <v>0</v>
      </c>
      <c r="J620" s="461">
        <v>0</v>
      </c>
      <c r="K620" s="492">
        <v>0</v>
      </c>
      <c r="L620" s="435"/>
      <c r="M620" s="461">
        <f t="shared" si="227"/>
        <v>0</v>
      </c>
      <c r="N620" s="492">
        <f t="shared" si="228"/>
        <v>0</v>
      </c>
      <c r="O620" s="461">
        <f t="shared" si="229"/>
        <v>0</v>
      </c>
      <c r="P620" s="492">
        <f t="shared" si="230"/>
        <v>0</v>
      </c>
      <c r="R620" s="466" t="s">
        <v>310</v>
      </c>
      <c r="S620" s="461">
        <v>0</v>
      </c>
      <c r="T620" s="492">
        <v>0</v>
      </c>
      <c r="U620" s="461">
        <v>0</v>
      </c>
      <c r="V620" s="492">
        <v>0</v>
      </c>
    </row>
    <row r="621" spans="1:22" ht="3" customHeight="1" x14ac:dyDescent="0.2">
      <c r="A621" s="469"/>
      <c r="B621" s="470"/>
      <c r="C621" s="471"/>
      <c r="D621" s="470"/>
      <c r="E621" s="471"/>
      <c r="F621" s="470"/>
      <c r="G621" s="471"/>
      <c r="H621" s="470"/>
      <c r="I621" s="471"/>
      <c r="J621" s="470"/>
      <c r="K621" s="471"/>
      <c r="L621" s="435"/>
      <c r="M621" s="470"/>
      <c r="N621" s="471"/>
      <c r="O621" s="470"/>
      <c r="P621" s="471"/>
      <c r="R621" s="469"/>
      <c r="S621" s="470"/>
      <c r="T621" s="471"/>
      <c r="U621" s="470"/>
      <c r="V621" s="471"/>
    </row>
    <row r="622" spans="1:22" ht="12" thickBot="1" x14ac:dyDescent="0.25">
      <c r="A622" s="472" t="s">
        <v>205</v>
      </c>
      <c r="B622" s="502">
        <f t="shared" ref="B622:G622" si="231">SUM(B611:B621)</f>
        <v>0</v>
      </c>
      <c r="C622" s="474">
        <f t="shared" si="231"/>
        <v>0</v>
      </c>
      <c r="D622" s="502">
        <f t="shared" si="231"/>
        <v>0</v>
      </c>
      <c r="E622" s="474">
        <f t="shared" si="231"/>
        <v>0</v>
      </c>
      <c r="F622" s="502">
        <f t="shared" si="231"/>
        <v>0</v>
      </c>
      <c r="G622" s="474">
        <f t="shared" si="231"/>
        <v>1523.1147603145312</v>
      </c>
      <c r="H622" s="502">
        <v>0</v>
      </c>
      <c r="I622" s="474">
        <v>0</v>
      </c>
      <c r="J622" s="502">
        <v>0</v>
      </c>
      <c r="K622" s="474">
        <v>0</v>
      </c>
      <c r="L622" s="435"/>
      <c r="M622" s="502">
        <f>IFERROR(H622-S622,"")</f>
        <v>0</v>
      </c>
      <c r="N622" s="474">
        <f>IFERROR(I622-T622,"")</f>
        <v>0</v>
      </c>
      <c r="O622" s="502">
        <f>IFERROR(J622-U622,"")</f>
        <v>0</v>
      </c>
      <c r="P622" s="474">
        <f>IFERROR(K622-V622,"")</f>
        <v>0</v>
      </c>
      <c r="R622" s="472" t="s">
        <v>205</v>
      </c>
      <c r="S622" s="502">
        <v>0</v>
      </c>
      <c r="T622" s="474">
        <v>0</v>
      </c>
      <c r="U622" s="502">
        <v>0</v>
      </c>
      <c r="V622" s="474">
        <v>0</v>
      </c>
    </row>
    <row r="623" spans="1:22" ht="12" thickTop="1" x14ac:dyDescent="0.2">
      <c r="A623" s="475"/>
      <c r="B623" s="477"/>
      <c r="C623" s="476"/>
      <c r="D623" s="477"/>
      <c r="E623" s="476"/>
      <c r="F623" s="477"/>
      <c r="G623" s="476"/>
      <c r="H623" s="477"/>
      <c r="I623" s="476"/>
      <c r="J623" s="477"/>
      <c r="K623" s="476"/>
      <c r="L623" s="435"/>
      <c r="M623" s="477"/>
      <c r="N623" s="476"/>
      <c r="O623" s="477"/>
      <c r="P623" s="476"/>
      <c r="R623" s="475"/>
      <c r="S623" s="477"/>
      <c r="T623" s="476"/>
      <c r="U623" s="477"/>
      <c r="V623" s="476"/>
    </row>
    <row r="624" spans="1:22" ht="11.25" customHeight="1" x14ac:dyDescent="0.2">
      <c r="A624" s="495"/>
      <c r="B624" s="477"/>
      <c r="C624" s="476"/>
      <c r="D624" s="477"/>
      <c r="E624" s="476"/>
      <c r="F624" s="477"/>
      <c r="G624" s="476"/>
      <c r="H624" s="477"/>
      <c r="I624" s="476"/>
      <c r="J624" s="477"/>
      <c r="K624" s="476"/>
      <c r="L624" s="435"/>
      <c r="M624" s="477"/>
      <c r="N624" s="476"/>
      <c r="O624" s="477"/>
      <c r="P624" s="476"/>
      <c r="R624" s="495"/>
      <c r="S624" s="477"/>
      <c r="T624" s="476"/>
      <c r="U624" s="477"/>
      <c r="V624" s="476"/>
    </row>
    <row r="625" spans="1:22" ht="12.75" x14ac:dyDescent="0.2">
      <c r="A625" s="1547" t="s">
        <v>321</v>
      </c>
      <c r="B625" s="489"/>
      <c r="C625" s="488"/>
      <c r="D625" s="489"/>
      <c r="E625" s="488"/>
      <c r="F625" s="489"/>
      <c r="G625" s="488"/>
      <c r="H625" s="489"/>
      <c r="I625" s="488"/>
      <c r="J625" s="489"/>
      <c r="K625" s="488"/>
      <c r="L625" s="435" t="s">
        <v>143</v>
      </c>
      <c r="M625" s="489"/>
      <c r="N625" s="488"/>
      <c r="O625" s="489"/>
      <c r="P625" s="488"/>
      <c r="R625" s="1547" t="s">
        <v>321</v>
      </c>
      <c r="S625" s="489"/>
      <c r="T625" s="488"/>
      <c r="U625" s="489"/>
      <c r="V625" s="488"/>
    </row>
    <row r="626" spans="1:22" ht="11.25" customHeight="1" x14ac:dyDescent="0.2">
      <c r="A626" s="1548"/>
      <c r="B626" s="491"/>
      <c r="C626" s="490"/>
      <c r="D626" s="491"/>
      <c r="E626" s="490"/>
      <c r="F626" s="491"/>
      <c r="G626" s="490"/>
      <c r="H626" s="491"/>
      <c r="I626" s="490"/>
      <c r="J626" s="491"/>
      <c r="K626" s="490"/>
      <c r="L626" s="435"/>
      <c r="M626" s="491"/>
      <c r="N626" s="490"/>
      <c r="O626" s="491"/>
      <c r="P626" s="490"/>
      <c r="R626" s="1548"/>
      <c r="S626" s="491"/>
      <c r="T626" s="490"/>
      <c r="U626" s="491"/>
      <c r="V626" s="490"/>
    </row>
    <row r="627" spans="1:22" x14ac:dyDescent="0.2">
      <c r="A627" s="454" t="s">
        <v>300</v>
      </c>
      <c r="B627" s="487"/>
      <c r="C627" s="486"/>
      <c r="D627" s="487"/>
      <c r="E627" s="486"/>
      <c r="F627" s="487"/>
      <c r="G627" s="486"/>
      <c r="H627" s="487"/>
      <c r="I627" s="486"/>
      <c r="J627" s="487"/>
      <c r="K627" s="486"/>
      <c r="L627" s="435"/>
      <c r="M627" s="487"/>
      <c r="N627" s="486"/>
      <c r="O627" s="487"/>
      <c r="P627" s="486"/>
      <c r="R627" s="454" t="s">
        <v>300</v>
      </c>
      <c r="S627" s="487"/>
      <c r="T627" s="486"/>
      <c r="U627" s="487"/>
      <c r="V627" s="486"/>
    </row>
    <row r="628" spans="1:22" x14ac:dyDescent="0.2">
      <c r="A628" s="455" t="s">
        <v>301</v>
      </c>
      <c r="B628" s="456">
        <v>1</v>
      </c>
      <c r="C628" s="457">
        <f>SUM(C643,C658,C673,C688)</f>
        <v>100462.82067013583</v>
      </c>
      <c r="D628" s="456">
        <v>1</v>
      </c>
      <c r="E628" s="457">
        <f t="shared" ref="E628:E637" si="232">SUM(E643,E658,E673,E688)</f>
        <v>107865.81691217661</v>
      </c>
      <c r="F628" s="456">
        <v>1</v>
      </c>
      <c r="G628" s="457">
        <f t="shared" ref="G628:G637" si="233">SUM(G643,G658,G673,G688)</f>
        <v>121412.30561689088</v>
      </c>
      <c r="H628" s="456">
        <v>1</v>
      </c>
      <c r="I628" s="457">
        <v>104114.36</v>
      </c>
      <c r="J628" s="456">
        <v>1</v>
      </c>
      <c r="K628" s="457">
        <v>106848.37999999998</v>
      </c>
      <c r="L628" s="435"/>
      <c r="M628" s="456">
        <f t="shared" ref="M628:M637" si="234">IFERROR(H628-S628,"")</f>
        <v>0</v>
      </c>
      <c r="N628" s="457">
        <f t="shared" ref="N628:N637" si="235">IFERROR(I628-T628,"")</f>
        <v>0</v>
      </c>
      <c r="O628" s="456">
        <f t="shared" ref="O628:O637" si="236">IFERROR(J628-U628,"")</f>
        <v>0</v>
      </c>
      <c r="P628" s="457">
        <f t="shared" ref="P628:P637" si="237">IFERROR(K628-V628,"")</f>
        <v>0</v>
      </c>
      <c r="R628" s="455" t="s">
        <v>301</v>
      </c>
      <c r="S628" s="456">
        <v>1</v>
      </c>
      <c r="T628" s="457">
        <v>104114.36</v>
      </c>
      <c r="U628" s="456">
        <v>1</v>
      </c>
      <c r="V628" s="457">
        <v>106848.37999999998</v>
      </c>
    </row>
    <row r="629" spans="1:22" x14ac:dyDescent="0.2">
      <c r="A629" s="465" t="s">
        <v>302</v>
      </c>
      <c r="B629" s="461">
        <v>1</v>
      </c>
      <c r="C629" s="462">
        <f t="shared" ref="C629:C637" si="238">SUM(C644,C659,C674,C689)</f>
        <v>54009.833441949719</v>
      </c>
      <c r="D629" s="461">
        <v>1</v>
      </c>
      <c r="E629" s="462">
        <f t="shared" si="232"/>
        <v>58350.066107254337</v>
      </c>
      <c r="F629" s="461">
        <v>1</v>
      </c>
      <c r="G629" s="462">
        <f t="shared" si="233"/>
        <v>60733.034294406447</v>
      </c>
      <c r="H629" s="461">
        <v>1</v>
      </c>
      <c r="I629" s="462">
        <v>58860.170000000006</v>
      </c>
      <c r="J629" s="461">
        <v>1</v>
      </c>
      <c r="K629" s="462">
        <v>60405.93</v>
      </c>
      <c r="L629" s="435"/>
      <c r="M629" s="461">
        <f t="shared" si="234"/>
        <v>0</v>
      </c>
      <c r="N629" s="462">
        <f t="shared" si="235"/>
        <v>0</v>
      </c>
      <c r="O629" s="461">
        <f t="shared" si="236"/>
        <v>0</v>
      </c>
      <c r="P629" s="462">
        <f t="shared" si="237"/>
        <v>0</v>
      </c>
      <c r="R629" s="465" t="s">
        <v>302</v>
      </c>
      <c r="S629" s="461">
        <v>1</v>
      </c>
      <c r="T629" s="462">
        <v>58860.170000000006</v>
      </c>
      <c r="U629" s="461">
        <v>1</v>
      </c>
      <c r="V629" s="462">
        <v>60405.93</v>
      </c>
    </row>
    <row r="630" spans="1:22" x14ac:dyDescent="0.2">
      <c r="A630" s="460" t="s">
        <v>303</v>
      </c>
      <c r="B630" s="461">
        <v>0</v>
      </c>
      <c r="C630" s="462">
        <f t="shared" si="238"/>
        <v>0</v>
      </c>
      <c r="D630" s="461">
        <v>0</v>
      </c>
      <c r="E630" s="462">
        <f t="shared" si="232"/>
        <v>0</v>
      </c>
      <c r="F630" s="461">
        <v>0</v>
      </c>
      <c r="G630" s="462">
        <f t="shared" si="233"/>
        <v>0</v>
      </c>
      <c r="H630" s="461">
        <v>0</v>
      </c>
      <c r="I630" s="462">
        <v>0</v>
      </c>
      <c r="J630" s="461">
        <v>0</v>
      </c>
      <c r="K630" s="462">
        <v>0</v>
      </c>
      <c r="L630" s="435"/>
      <c r="M630" s="461">
        <f t="shared" si="234"/>
        <v>0</v>
      </c>
      <c r="N630" s="462">
        <f t="shared" si="235"/>
        <v>0</v>
      </c>
      <c r="O630" s="461">
        <f t="shared" si="236"/>
        <v>0</v>
      </c>
      <c r="P630" s="462">
        <f t="shared" si="237"/>
        <v>0</v>
      </c>
      <c r="R630" s="460" t="s">
        <v>303</v>
      </c>
      <c r="S630" s="461">
        <v>0</v>
      </c>
      <c r="T630" s="462">
        <v>0</v>
      </c>
      <c r="U630" s="461">
        <v>0</v>
      </c>
      <c r="V630" s="462">
        <v>0</v>
      </c>
    </row>
    <row r="631" spans="1:22" x14ac:dyDescent="0.2">
      <c r="A631" s="465" t="s">
        <v>304</v>
      </c>
      <c r="B631" s="461">
        <v>0</v>
      </c>
      <c r="C631" s="462">
        <f t="shared" si="238"/>
        <v>0</v>
      </c>
      <c r="D631" s="461">
        <v>0</v>
      </c>
      <c r="E631" s="462">
        <f t="shared" si="232"/>
        <v>0</v>
      </c>
      <c r="F631" s="461">
        <v>0</v>
      </c>
      <c r="G631" s="462">
        <f t="shared" si="233"/>
        <v>0</v>
      </c>
      <c r="H631" s="461">
        <v>0</v>
      </c>
      <c r="I631" s="462">
        <v>0</v>
      </c>
      <c r="J631" s="461">
        <v>0</v>
      </c>
      <c r="K631" s="462">
        <v>0</v>
      </c>
      <c r="L631" s="435"/>
      <c r="M631" s="461">
        <f t="shared" si="234"/>
        <v>0</v>
      </c>
      <c r="N631" s="462">
        <f t="shared" si="235"/>
        <v>0</v>
      </c>
      <c r="O631" s="461">
        <f t="shared" si="236"/>
        <v>0</v>
      </c>
      <c r="P631" s="462">
        <f t="shared" si="237"/>
        <v>0</v>
      </c>
      <c r="R631" s="465" t="s">
        <v>304</v>
      </c>
      <c r="S631" s="461">
        <v>0</v>
      </c>
      <c r="T631" s="462">
        <v>0</v>
      </c>
      <c r="U631" s="461">
        <v>0</v>
      </c>
      <c r="V631" s="462">
        <v>0</v>
      </c>
    </row>
    <row r="632" spans="1:22" x14ac:dyDescent="0.2">
      <c r="A632" s="465" t="s">
        <v>305</v>
      </c>
      <c r="B632" s="461">
        <v>0</v>
      </c>
      <c r="C632" s="462">
        <f t="shared" si="238"/>
        <v>639.5831061295504</v>
      </c>
      <c r="D632" s="461">
        <v>0</v>
      </c>
      <c r="E632" s="462">
        <f t="shared" si="232"/>
        <v>3663.604679273144</v>
      </c>
      <c r="F632" s="461">
        <v>0</v>
      </c>
      <c r="G632" s="462">
        <f t="shared" si="233"/>
        <v>5371.7258130856717</v>
      </c>
      <c r="H632" s="461">
        <v>0</v>
      </c>
      <c r="I632" s="462">
        <v>0</v>
      </c>
      <c r="J632" s="461">
        <v>0</v>
      </c>
      <c r="K632" s="462">
        <v>0</v>
      </c>
      <c r="L632" s="435"/>
      <c r="M632" s="461">
        <f t="shared" si="234"/>
        <v>0</v>
      </c>
      <c r="N632" s="462">
        <f t="shared" si="235"/>
        <v>0</v>
      </c>
      <c r="O632" s="461">
        <f t="shared" si="236"/>
        <v>0</v>
      </c>
      <c r="P632" s="462">
        <f t="shared" si="237"/>
        <v>0</v>
      </c>
      <c r="R632" s="465" t="s">
        <v>305</v>
      </c>
      <c r="S632" s="461">
        <v>0</v>
      </c>
      <c r="T632" s="462">
        <v>0</v>
      </c>
      <c r="U632" s="461">
        <v>0</v>
      </c>
      <c r="V632" s="462">
        <v>0</v>
      </c>
    </row>
    <row r="633" spans="1:22" x14ac:dyDescent="0.2">
      <c r="A633" s="465" t="s">
        <v>306</v>
      </c>
      <c r="B633" s="461">
        <v>20.5</v>
      </c>
      <c r="C633" s="462">
        <f t="shared" si="238"/>
        <v>1833609.0301619398</v>
      </c>
      <c r="D633" s="461">
        <v>20.166666666666664</v>
      </c>
      <c r="E633" s="462">
        <f t="shared" si="232"/>
        <v>1958198.2544862297</v>
      </c>
      <c r="F633" s="461">
        <v>21.166666666666664</v>
      </c>
      <c r="G633" s="462">
        <f t="shared" si="233"/>
        <v>2176141.0382468291</v>
      </c>
      <c r="H633" s="461">
        <v>23</v>
      </c>
      <c r="I633" s="462">
        <v>2469549.0399999996</v>
      </c>
      <c r="J633" s="461">
        <v>23</v>
      </c>
      <c r="K633" s="462">
        <v>2528610.1800000002</v>
      </c>
      <c r="L633" s="435"/>
      <c r="M633" s="461">
        <f t="shared" si="234"/>
        <v>0</v>
      </c>
      <c r="N633" s="462">
        <f t="shared" si="235"/>
        <v>0</v>
      </c>
      <c r="O633" s="461">
        <f t="shared" si="236"/>
        <v>0</v>
      </c>
      <c r="P633" s="462">
        <f t="shared" si="237"/>
        <v>0</v>
      </c>
      <c r="R633" s="465" t="s">
        <v>306</v>
      </c>
      <c r="S633" s="461">
        <v>23</v>
      </c>
      <c r="T633" s="462">
        <v>2469549.0399999996</v>
      </c>
      <c r="U633" s="461">
        <v>23</v>
      </c>
      <c r="V633" s="462">
        <v>2528610.1800000002</v>
      </c>
    </row>
    <row r="634" spans="1:22" x14ac:dyDescent="0.2">
      <c r="A634" s="465" t="s">
        <v>307</v>
      </c>
      <c r="B634" s="461">
        <v>0</v>
      </c>
      <c r="C634" s="462">
        <f t="shared" si="238"/>
        <v>1125.9042380897731</v>
      </c>
      <c r="D634" s="461">
        <v>0</v>
      </c>
      <c r="E634" s="462">
        <f t="shared" si="232"/>
        <v>0</v>
      </c>
      <c r="F634" s="461">
        <v>0</v>
      </c>
      <c r="G634" s="462">
        <f t="shared" si="233"/>
        <v>0</v>
      </c>
      <c r="H634" s="461">
        <v>0</v>
      </c>
      <c r="I634" s="462">
        <v>0</v>
      </c>
      <c r="J634" s="461">
        <v>0</v>
      </c>
      <c r="K634" s="462">
        <v>0</v>
      </c>
      <c r="L634" s="435"/>
      <c r="M634" s="461">
        <f t="shared" si="234"/>
        <v>0</v>
      </c>
      <c r="N634" s="462">
        <f t="shared" si="235"/>
        <v>0</v>
      </c>
      <c r="O634" s="461">
        <f t="shared" si="236"/>
        <v>0</v>
      </c>
      <c r="P634" s="462">
        <f t="shared" si="237"/>
        <v>0</v>
      </c>
      <c r="R634" s="465" t="s">
        <v>307</v>
      </c>
      <c r="S634" s="461">
        <v>0</v>
      </c>
      <c r="T634" s="462">
        <v>0</v>
      </c>
      <c r="U634" s="461">
        <v>0</v>
      </c>
      <c r="V634" s="462">
        <v>0</v>
      </c>
    </row>
    <row r="635" spans="1:22" x14ac:dyDescent="0.2">
      <c r="A635" s="465" t="s">
        <v>308</v>
      </c>
      <c r="B635" s="461">
        <v>0</v>
      </c>
      <c r="C635" s="462">
        <f t="shared" si="238"/>
        <v>0</v>
      </c>
      <c r="D635" s="461">
        <v>0</v>
      </c>
      <c r="E635" s="462">
        <f t="shared" si="232"/>
        <v>0</v>
      </c>
      <c r="F635" s="461">
        <v>0</v>
      </c>
      <c r="G635" s="462">
        <f t="shared" si="233"/>
        <v>0</v>
      </c>
      <c r="H635" s="461">
        <v>0</v>
      </c>
      <c r="I635" s="462">
        <v>0</v>
      </c>
      <c r="J635" s="461">
        <v>0</v>
      </c>
      <c r="K635" s="462">
        <v>0</v>
      </c>
      <c r="L635" s="435"/>
      <c r="M635" s="461">
        <f t="shared" si="234"/>
        <v>0</v>
      </c>
      <c r="N635" s="462">
        <f t="shared" si="235"/>
        <v>0</v>
      </c>
      <c r="O635" s="461">
        <f t="shared" si="236"/>
        <v>0</v>
      </c>
      <c r="P635" s="462">
        <f t="shared" si="237"/>
        <v>0</v>
      </c>
      <c r="R635" s="465" t="s">
        <v>308</v>
      </c>
      <c r="S635" s="461">
        <v>0</v>
      </c>
      <c r="T635" s="462">
        <v>0</v>
      </c>
      <c r="U635" s="461">
        <v>0</v>
      </c>
      <c r="V635" s="462">
        <v>0</v>
      </c>
    </row>
    <row r="636" spans="1:22" x14ac:dyDescent="0.2">
      <c r="A636" s="465" t="s">
        <v>309</v>
      </c>
      <c r="B636" s="461">
        <v>0</v>
      </c>
      <c r="C636" s="462">
        <f t="shared" si="238"/>
        <v>0</v>
      </c>
      <c r="D636" s="461">
        <v>0</v>
      </c>
      <c r="E636" s="462">
        <f t="shared" si="232"/>
        <v>0</v>
      </c>
      <c r="F636" s="461">
        <v>0</v>
      </c>
      <c r="G636" s="462">
        <f t="shared" si="233"/>
        <v>0</v>
      </c>
      <c r="H636" s="461">
        <v>0</v>
      </c>
      <c r="I636" s="462">
        <v>0</v>
      </c>
      <c r="J636" s="461">
        <v>0</v>
      </c>
      <c r="K636" s="462">
        <v>0</v>
      </c>
      <c r="L636" s="435"/>
      <c r="M636" s="461">
        <f t="shared" si="234"/>
        <v>0</v>
      </c>
      <c r="N636" s="462">
        <f t="shared" si="235"/>
        <v>0</v>
      </c>
      <c r="O636" s="461">
        <f t="shared" si="236"/>
        <v>0</v>
      </c>
      <c r="P636" s="462">
        <f t="shared" si="237"/>
        <v>0</v>
      </c>
      <c r="R636" s="465" t="s">
        <v>309</v>
      </c>
      <c r="S636" s="461">
        <v>0</v>
      </c>
      <c r="T636" s="462">
        <v>0</v>
      </c>
      <c r="U636" s="461">
        <v>0</v>
      </c>
      <c r="V636" s="462">
        <v>0</v>
      </c>
    </row>
    <row r="637" spans="1:22" x14ac:dyDescent="0.2">
      <c r="A637" s="466" t="s">
        <v>310</v>
      </c>
      <c r="B637" s="461">
        <v>0</v>
      </c>
      <c r="C637" s="462">
        <f t="shared" si="238"/>
        <v>0</v>
      </c>
      <c r="D637" s="461">
        <v>0</v>
      </c>
      <c r="E637" s="462">
        <f t="shared" si="232"/>
        <v>0</v>
      </c>
      <c r="F637" s="461">
        <v>0</v>
      </c>
      <c r="G637" s="462">
        <f t="shared" si="233"/>
        <v>0</v>
      </c>
      <c r="H637" s="461">
        <v>0</v>
      </c>
      <c r="I637" s="492">
        <v>0</v>
      </c>
      <c r="J637" s="461">
        <v>0</v>
      </c>
      <c r="K637" s="492">
        <v>0</v>
      </c>
      <c r="L637" s="435"/>
      <c r="M637" s="461">
        <f t="shared" si="234"/>
        <v>0</v>
      </c>
      <c r="N637" s="492">
        <f t="shared" si="235"/>
        <v>0</v>
      </c>
      <c r="O637" s="461">
        <f t="shared" si="236"/>
        <v>0</v>
      </c>
      <c r="P637" s="492">
        <f t="shared" si="237"/>
        <v>0</v>
      </c>
      <c r="R637" s="466" t="s">
        <v>310</v>
      </c>
      <c r="S637" s="461">
        <v>0</v>
      </c>
      <c r="T637" s="492">
        <v>0</v>
      </c>
      <c r="U637" s="461">
        <v>0</v>
      </c>
      <c r="V637" s="492">
        <v>0</v>
      </c>
    </row>
    <row r="638" spans="1:22" ht="3" customHeight="1" x14ac:dyDescent="0.2">
      <c r="A638" s="469"/>
      <c r="B638" s="470"/>
      <c r="C638" s="471"/>
      <c r="D638" s="470"/>
      <c r="E638" s="471"/>
      <c r="F638" s="470"/>
      <c r="G638" s="471"/>
      <c r="H638" s="470"/>
      <c r="I638" s="471"/>
      <c r="J638" s="470"/>
      <c r="K638" s="471"/>
      <c r="L638" s="435"/>
      <c r="M638" s="470"/>
      <c r="N638" s="471"/>
      <c r="O638" s="470"/>
      <c r="P638" s="471"/>
      <c r="R638" s="469"/>
      <c r="S638" s="470"/>
      <c r="T638" s="471"/>
      <c r="U638" s="470"/>
      <c r="V638" s="471"/>
    </row>
    <row r="639" spans="1:22" ht="12" thickBot="1" x14ac:dyDescent="0.25">
      <c r="A639" s="472" t="s">
        <v>205</v>
      </c>
      <c r="B639" s="473">
        <f t="shared" ref="B639:G639" si="239">SUM(B628:B638)</f>
        <v>22.5</v>
      </c>
      <c r="C639" s="474">
        <f t="shared" si="239"/>
        <v>1989847.1716182446</v>
      </c>
      <c r="D639" s="473">
        <f t="shared" si="239"/>
        <v>22.166666666666664</v>
      </c>
      <c r="E639" s="474">
        <f t="shared" si="239"/>
        <v>2128077.7421849337</v>
      </c>
      <c r="F639" s="473">
        <f t="shared" si="239"/>
        <v>23.166666666666664</v>
      </c>
      <c r="G639" s="474">
        <f t="shared" si="239"/>
        <v>2363658.1039712122</v>
      </c>
      <c r="H639" s="473">
        <v>25</v>
      </c>
      <c r="I639" s="474">
        <v>2632523.5699999994</v>
      </c>
      <c r="J639" s="473">
        <v>25</v>
      </c>
      <c r="K639" s="474">
        <v>2695864.49</v>
      </c>
      <c r="L639" s="435"/>
      <c r="M639" s="473">
        <f>IFERROR(H639-S639,"")</f>
        <v>0</v>
      </c>
      <c r="N639" s="474">
        <f>IFERROR(I639-T639,"")</f>
        <v>0</v>
      </c>
      <c r="O639" s="473">
        <f>IFERROR(J639-U639,"")</f>
        <v>0</v>
      </c>
      <c r="P639" s="474">
        <f>IFERROR(K639-V639,"")</f>
        <v>0</v>
      </c>
      <c r="R639" s="472" t="s">
        <v>205</v>
      </c>
      <c r="S639" s="473">
        <v>25</v>
      </c>
      <c r="T639" s="474">
        <v>2632523.5699999994</v>
      </c>
      <c r="U639" s="473">
        <v>25</v>
      </c>
      <c r="V639" s="474">
        <v>2695864.49</v>
      </c>
    </row>
    <row r="640" spans="1:22" ht="12" thickTop="1" x14ac:dyDescent="0.2">
      <c r="A640" s="475"/>
      <c r="B640" s="477"/>
      <c r="C640" s="476"/>
      <c r="D640" s="477"/>
      <c r="E640" s="476"/>
      <c r="F640" s="477"/>
      <c r="G640" s="476"/>
      <c r="H640" s="477"/>
      <c r="I640" s="476"/>
      <c r="J640" s="477"/>
      <c r="K640" s="476"/>
      <c r="L640" s="435"/>
      <c r="M640" s="477"/>
      <c r="N640" s="476"/>
      <c r="O640" s="477"/>
      <c r="P640" s="476"/>
      <c r="R640" s="475"/>
      <c r="S640" s="477"/>
      <c r="T640" s="476"/>
      <c r="U640" s="477"/>
      <c r="V640" s="476"/>
    </row>
    <row r="641" spans="1:22" x14ac:dyDescent="0.2">
      <c r="A641" s="476"/>
      <c r="B641" s="477"/>
      <c r="C641" s="476"/>
      <c r="D641" s="477"/>
      <c r="E641" s="476"/>
      <c r="F641" s="477"/>
      <c r="G641" s="476"/>
      <c r="H641" s="477"/>
      <c r="I641" s="476"/>
      <c r="J641" s="477"/>
      <c r="K641" s="476"/>
      <c r="L641" s="435"/>
      <c r="M641" s="477"/>
      <c r="N641" s="476"/>
      <c r="O641" s="477"/>
      <c r="P641" s="476"/>
      <c r="R641" s="476"/>
      <c r="S641" s="477"/>
      <c r="T641" s="476"/>
      <c r="U641" s="477"/>
      <c r="V641" s="476"/>
    </row>
    <row r="642" spans="1:22" x14ac:dyDescent="0.2">
      <c r="A642" s="480" t="s">
        <v>311</v>
      </c>
      <c r="B642" s="482"/>
      <c r="C642" s="481"/>
      <c r="D642" s="482"/>
      <c r="E642" s="481"/>
      <c r="F642" s="482"/>
      <c r="G642" s="481"/>
      <c r="H642" s="482"/>
      <c r="I642" s="481"/>
      <c r="J642" s="482"/>
      <c r="K642" s="481"/>
      <c r="L642" s="435"/>
      <c r="M642" s="482"/>
      <c r="N642" s="481"/>
      <c r="O642" s="482"/>
      <c r="P642" s="481"/>
      <c r="R642" s="480" t="s">
        <v>311</v>
      </c>
      <c r="S642" s="482"/>
      <c r="T642" s="481"/>
      <c r="U642" s="482"/>
      <c r="V642" s="481"/>
    </row>
    <row r="643" spans="1:22" x14ac:dyDescent="0.2">
      <c r="A643" s="455" t="s">
        <v>301</v>
      </c>
      <c r="B643" s="456">
        <v>1</v>
      </c>
      <c r="C643" s="457">
        <v>91212.225609220433</v>
      </c>
      <c r="D643" s="456">
        <v>1</v>
      </c>
      <c r="E643" s="457">
        <v>96728.989238397888</v>
      </c>
      <c r="F643" s="456">
        <v>1</v>
      </c>
      <c r="G643" s="457">
        <v>104093.25631535094</v>
      </c>
      <c r="H643" s="456">
        <v>1</v>
      </c>
      <c r="I643" s="457">
        <v>87246.37000000001</v>
      </c>
      <c r="J643" s="456">
        <v>1</v>
      </c>
      <c r="K643" s="457">
        <v>89474.419999999984</v>
      </c>
      <c r="L643" s="435"/>
      <c r="M643" s="456">
        <f t="shared" ref="M643:M652" si="240">IFERROR(H643-S643,"")</f>
        <v>0</v>
      </c>
      <c r="N643" s="457">
        <f t="shared" ref="N643:N652" si="241">IFERROR(I643-T643,"")</f>
        <v>0</v>
      </c>
      <c r="O643" s="456">
        <f t="shared" ref="O643:O652" si="242">IFERROR(J643-U643,"")</f>
        <v>0</v>
      </c>
      <c r="P643" s="457">
        <f t="shared" ref="P643:P652" si="243">IFERROR(K643-V643,"")</f>
        <v>0</v>
      </c>
      <c r="R643" s="455" t="s">
        <v>301</v>
      </c>
      <c r="S643" s="456">
        <v>1</v>
      </c>
      <c r="T643" s="457">
        <v>87246.37000000001</v>
      </c>
      <c r="U643" s="456">
        <v>1</v>
      </c>
      <c r="V643" s="457">
        <v>89474.419999999984</v>
      </c>
    </row>
    <row r="644" spans="1:22" x14ac:dyDescent="0.2">
      <c r="A644" s="465" t="s">
        <v>302</v>
      </c>
      <c r="B644" s="461">
        <v>1</v>
      </c>
      <c r="C644" s="462">
        <v>46851.123491197402</v>
      </c>
      <c r="D644" s="461">
        <v>1</v>
      </c>
      <c r="E644" s="462">
        <v>49404.795231718934</v>
      </c>
      <c r="F644" s="461">
        <v>1</v>
      </c>
      <c r="G644" s="462">
        <v>48943.048526955805</v>
      </c>
      <c r="H644" s="461">
        <v>1</v>
      </c>
      <c r="I644" s="462">
        <v>49242.67</v>
      </c>
      <c r="J644" s="461">
        <v>1</v>
      </c>
      <c r="K644" s="462">
        <v>50499.92</v>
      </c>
      <c r="L644" s="435"/>
      <c r="M644" s="461">
        <f t="shared" si="240"/>
        <v>0</v>
      </c>
      <c r="N644" s="462">
        <f t="shared" si="241"/>
        <v>0</v>
      </c>
      <c r="O644" s="461">
        <f t="shared" si="242"/>
        <v>0</v>
      </c>
      <c r="P644" s="462">
        <f t="shared" si="243"/>
        <v>0</v>
      </c>
      <c r="R644" s="465" t="s">
        <v>302</v>
      </c>
      <c r="S644" s="461">
        <v>1</v>
      </c>
      <c r="T644" s="462">
        <v>49242.67</v>
      </c>
      <c r="U644" s="461">
        <v>1</v>
      </c>
      <c r="V644" s="462">
        <v>50499.92</v>
      </c>
    </row>
    <row r="645" spans="1:22" x14ac:dyDescent="0.2">
      <c r="A645" s="460" t="s">
        <v>303</v>
      </c>
      <c r="B645" s="461">
        <v>0</v>
      </c>
      <c r="C645" s="462">
        <v>0</v>
      </c>
      <c r="D645" s="461">
        <v>0</v>
      </c>
      <c r="E645" s="462">
        <v>0</v>
      </c>
      <c r="F645" s="461">
        <v>0</v>
      </c>
      <c r="G645" s="462">
        <v>0</v>
      </c>
      <c r="H645" s="461">
        <v>0</v>
      </c>
      <c r="I645" s="462">
        <v>0</v>
      </c>
      <c r="J645" s="461">
        <v>0</v>
      </c>
      <c r="K645" s="462">
        <v>0</v>
      </c>
      <c r="L645" s="435"/>
      <c r="M645" s="461">
        <f t="shared" si="240"/>
        <v>0</v>
      </c>
      <c r="N645" s="462">
        <f t="shared" si="241"/>
        <v>0</v>
      </c>
      <c r="O645" s="461">
        <f t="shared" si="242"/>
        <v>0</v>
      </c>
      <c r="P645" s="462">
        <f t="shared" si="243"/>
        <v>0</v>
      </c>
      <c r="R645" s="460" t="s">
        <v>303</v>
      </c>
      <c r="S645" s="461">
        <v>0</v>
      </c>
      <c r="T645" s="462">
        <v>0</v>
      </c>
      <c r="U645" s="461">
        <v>0</v>
      </c>
      <c r="V645" s="462">
        <v>0</v>
      </c>
    </row>
    <row r="646" spans="1:22" x14ac:dyDescent="0.2">
      <c r="A646" s="465" t="s">
        <v>304</v>
      </c>
      <c r="B646" s="461">
        <v>0.12333333333333334</v>
      </c>
      <c r="C646" s="462">
        <v>0</v>
      </c>
      <c r="D646" s="461">
        <v>0</v>
      </c>
      <c r="E646" s="462">
        <v>0</v>
      </c>
      <c r="F646" s="461">
        <v>6.8333333333333343E-2</v>
      </c>
      <c r="G646" s="462">
        <v>0</v>
      </c>
      <c r="H646" s="461">
        <v>0</v>
      </c>
      <c r="I646" s="462">
        <v>0</v>
      </c>
      <c r="J646" s="461">
        <v>0</v>
      </c>
      <c r="K646" s="462">
        <v>0</v>
      </c>
      <c r="L646" s="435"/>
      <c r="M646" s="461">
        <f t="shared" si="240"/>
        <v>0</v>
      </c>
      <c r="N646" s="462">
        <f t="shared" si="241"/>
        <v>0</v>
      </c>
      <c r="O646" s="461">
        <f t="shared" si="242"/>
        <v>0</v>
      </c>
      <c r="P646" s="462">
        <f t="shared" si="243"/>
        <v>0</v>
      </c>
      <c r="R646" s="465" t="s">
        <v>304</v>
      </c>
      <c r="S646" s="461">
        <v>0</v>
      </c>
      <c r="T646" s="462">
        <v>0</v>
      </c>
      <c r="U646" s="461">
        <v>0</v>
      </c>
      <c r="V646" s="462">
        <v>0</v>
      </c>
    </row>
    <row r="647" spans="1:22" x14ac:dyDescent="0.2">
      <c r="A647" s="465" t="s">
        <v>305</v>
      </c>
      <c r="B647" s="461">
        <v>0</v>
      </c>
      <c r="C647" s="462">
        <v>639.5831061295504</v>
      </c>
      <c r="D647" s="461">
        <v>0</v>
      </c>
      <c r="E647" s="462">
        <v>3663.604679273144</v>
      </c>
      <c r="F647" s="461">
        <v>0</v>
      </c>
      <c r="G647" s="462">
        <v>4740.4439264899147</v>
      </c>
      <c r="H647" s="461">
        <v>0</v>
      </c>
      <c r="I647" s="462">
        <v>0</v>
      </c>
      <c r="J647" s="461">
        <v>0</v>
      </c>
      <c r="K647" s="462">
        <v>0</v>
      </c>
      <c r="L647" s="435"/>
      <c r="M647" s="461">
        <f t="shared" si="240"/>
        <v>0</v>
      </c>
      <c r="N647" s="462">
        <f t="shared" si="241"/>
        <v>0</v>
      </c>
      <c r="O647" s="461">
        <f t="shared" si="242"/>
        <v>0</v>
      </c>
      <c r="P647" s="462">
        <f t="shared" si="243"/>
        <v>0</v>
      </c>
      <c r="R647" s="465" t="s">
        <v>305</v>
      </c>
      <c r="S647" s="461">
        <v>0</v>
      </c>
      <c r="T647" s="462">
        <v>0</v>
      </c>
      <c r="U647" s="461">
        <v>0</v>
      </c>
      <c r="V647" s="462">
        <v>0</v>
      </c>
    </row>
    <row r="648" spans="1:22" x14ac:dyDescent="0.2">
      <c r="A648" s="465" t="s">
        <v>306</v>
      </c>
      <c r="B648" s="461">
        <v>18.350000000000001</v>
      </c>
      <c r="C648" s="462">
        <v>1451751.7178598787</v>
      </c>
      <c r="D648" s="461">
        <v>18.303333333333331</v>
      </c>
      <c r="E648" s="462">
        <v>1489948.274531761</v>
      </c>
      <c r="F648" s="461">
        <v>18.450833333333332</v>
      </c>
      <c r="G648" s="462">
        <v>1510324.6859155609</v>
      </c>
      <c r="H648" s="461">
        <v>19.150000000000002</v>
      </c>
      <c r="I648" s="462">
        <v>1591813.7599999998</v>
      </c>
      <c r="J648" s="461">
        <v>19.150000000000002</v>
      </c>
      <c r="K648" s="462">
        <v>1632885.1</v>
      </c>
      <c r="L648" s="435"/>
      <c r="M648" s="461">
        <f t="shared" si="240"/>
        <v>0</v>
      </c>
      <c r="N648" s="462">
        <f t="shared" si="241"/>
        <v>0</v>
      </c>
      <c r="O648" s="461">
        <f t="shared" si="242"/>
        <v>0</v>
      </c>
      <c r="P648" s="462">
        <f t="shared" si="243"/>
        <v>0</v>
      </c>
      <c r="R648" s="465" t="s">
        <v>306</v>
      </c>
      <c r="S648" s="461">
        <v>19.150000000000002</v>
      </c>
      <c r="T648" s="462">
        <v>1591813.7599999998</v>
      </c>
      <c r="U648" s="461">
        <v>19.150000000000002</v>
      </c>
      <c r="V648" s="462">
        <v>1632885.1</v>
      </c>
    </row>
    <row r="649" spans="1:22" x14ac:dyDescent="0.2">
      <c r="A649" s="465" t="s">
        <v>307</v>
      </c>
      <c r="B649" s="461">
        <v>0</v>
      </c>
      <c r="C649" s="462">
        <v>1125.9042380897731</v>
      </c>
      <c r="D649" s="461">
        <v>0</v>
      </c>
      <c r="E649" s="462">
        <v>0</v>
      </c>
      <c r="F649" s="461">
        <v>0</v>
      </c>
      <c r="G649" s="462">
        <v>0</v>
      </c>
      <c r="H649" s="461">
        <v>0</v>
      </c>
      <c r="I649" s="462">
        <v>0</v>
      </c>
      <c r="J649" s="461">
        <v>0</v>
      </c>
      <c r="K649" s="462">
        <v>0</v>
      </c>
      <c r="L649" s="435"/>
      <c r="M649" s="461">
        <f t="shared" si="240"/>
        <v>0</v>
      </c>
      <c r="N649" s="462">
        <f t="shared" si="241"/>
        <v>0</v>
      </c>
      <c r="O649" s="461">
        <f t="shared" si="242"/>
        <v>0</v>
      </c>
      <c r="P649" s="462">
        <f t="shared" si="243"/>
        <v>0</v>
      </c>
      <c r="R649" s="465" t="s">
        <v>307</v>
      </c>
      <c r="S649" s="461">
        <v>0</v>
      </c>
      <c r="T649" s="462">
        <v>0</v>
      </c>
      <c r="U649" s="461">
        <v>0</v>
      </c>
      <c r="V649" s="462">
        <v>0</v>
      </c>
    </row>
    <row r="650" spans="1:22" x14ac:dyDescent="0.2">
      <c r="A650" s="465" t="s">
        <v>308</v>
      </c>
      <c r="B650" s="461">
        <v>0</v>
      </c>
      <c r="C650" s="462">
        <v>0</v>
      </c>
      <c r="D650" s="461">
        <v>0</v>
      </c>
      <c r="E650" s="462">
        <v>0</v>
      </c>
      <c r="F650" s="461">
        <v>0</v>
      </c>
      <c r="G650" s="462">
        <v>0</v>
      </c>
      <c r="H650" s="461">
        <v>0</v>
      </c>
      <c r="I650" s="462">
        <v>0</v>
      </c>
      <c r="J650" s="461">
        <v>0</v>
      </c>
      <c r="K650" s="462">
        <v>0</v>
      </c>
      <c r="L650" s="435"/>
      <c r="M650" s="461">
        <f t="shared" si="240"/>
        <v>0</v>
      </c>
      <c r="N650" s="462">
        <f t="shared" si="241"/>
        <v>0</v>
      </c>
      <c r="O650" s="461">
        <f t="shared" si="242"/>
        <v>0</v>
      </c>
      <c r="P650" s="462">
        <f t="shared" si="243"/>
        <v>0</v>
      </c>
      <c r="R650" s="465" t="s">
        <v>308</v>
      </c>
      <c r="S650" s="461">
        <v>0</v>
      </c>
      <c r="T650" s="462">
        <v>0</v>
      </c>
      <c r="U650" s="461">
        <v>0</v>
      </c>
      <c r="V650" s="462">
        <v>0</v>
      </c>
    </row>
    <row r="651" spans="1:22" x14ac:dyDescent="0.2">
      <c r="A651" s="465" t="s">
        <v>309</v>
      </c>
      <c r="B651" s="461">
        <v>0</v>
      </c>
      <c r="C651" s="462">
        <v>0</v>
      </c>
      <c r="D651" s="461">
        <v>0</v>
      </c>
      <c r="E651" s="462">
        <v>0</v>
      </c>
      <c r="F651" s="461">
        <v>0</v>
      </c>
      <c r="G651" s="462">
        <v>0</v>
      </c>
      <c r="H651" s="461">
        <v>0</v>
      </c>
      <c r="I651" s="462">
        <v>0</v>
      </c>
      <c r="J651" s="461">
        <v>0</v>
      </c>
      <c r="K651" s="462">
        <v>0</v>
      </c>
      <c r="L651" s="435"/>
      <c r="M651" s="461">
        <f t="shared" si="240"/>
        <v>0</v>
      </c>
      <c r="N651" s="462">
        <f t="shared" si="241"/>
        <v>0</v>
      </c>
      <c r="O651" s="461">
        <f t="shared" si="242"/>
        <v>0</v>
      </c>
      <c r="P651" s="462">
        <f t="shared" si="243"/>
        <v>0</v>
      </c>
      <c r="R651" s="465" t="s">
        <v>309</v>
      </c>
      <c r="S651" s="461">
        <v>0</v>
      </c>
      <c r="T651" s="462">
        <v>0</v>
      </c>
      <c r="U651" s="461">
        <v>0</v>
      </c>
      <c r="V651" s="462">
        <v>0</v>
      </c>
    </row>
    <row r="652" spans="1:22" x14ac:dyDescent="0.2">
      <c r="A652" s="466" t="s">
        <v>310</v>
      </c>
      <c r="B652" s="461">
        <v>0</v>
      </c>
      <c r="C652" s="462">
        <v>0</v>
      </c>
      <c r="D652" s="461">
        <v>0</v>
      </c>
      <c r="E652" s="462">
        <v>0</v>
      </c>
      <c r="F652" s="461">
        <v>0</v>
      </c>
      <c r="G652" s="462">
        <v>0</v>
      </c>
      <c r="H652" s="461">
        <v>0</v>
      </c>
      <c r="I652" s="492">
        <v>0</v>
      </c>
      <c r="J652" s="461">
        <v>0</v>
      </c>
      <c r="K652" s="492">
        <v>0</v>
      </c>
      <c r="L652" s="435"/>
      <c r="M652" s="461">
        <f t="shared" si="240"/>
        <v>0</v>
      </c>
      <c r="N652" s="492">
        <f t="shared" si="241"/>
        <v>0</v>
      </c>
      <c r="O652" s="461">
        <f t="shared" si="242"/>
        <v>0</v>
      </c>
      <c r="P652" s="492">
        <f t="shared" si="243"/>
        <v>0</v>
      </c>
      <c r="R652" s="466" t="s">
        <v>310</v>
      </c>
      <c r="S652" s="461">
        <v>0</v>
      </c>
      <c r="T652" s="492">
        <v>0</v>
      </c>
      <c r="U652" s="461">
        <v>0</v>
      </c>
      <c r="V652" s="492">
        <v>0</v>
      </c>
    </row>
    <row r="653" spans="1:22" ht="3" customHeight="1" x14ac:dyDescent="0.2">
      <c r="A653" s="469"/>
      <c r="B653" s="470"/>
      <c r="C653" s="471"/>
      <c r="D653" s="470"/>
      <c r="E653" s="471"/>
      <c r="F653" s="470"/>
      <c r="G653" s="471"/>
      <c r="H653" s="470"/>
      <c r="I653" s="471"/>
      <c r="J653" s="470"/>
      <c r="K653" s="471"/>
      <c r="L653" s="435"/>
      <c r="M653" s="470"/>
      <c r="N653" s="471"/>
      <c r="O653" s="470"/>
      <c r="P653" s="471"/>
      <c r="R653" s="469"/>
      <c r="S653" s="470"/>
      <c r="T653" s="471"/>
      <c r="U653" s="470"/>
      <c r="V653" s="471"/>
    </row>
    <row r="654" spans="1:22" ht="12" thickBot="1" x14ac:dyDescent="0.25">
      <c r="A654" s="472" t="s">
        <v>205</v>
      </c>
      <c r="B654" s="473">
        <f t="shared" ref="B654:G654" si="244">SUM(B643:B653)</f>
        <v>20.473333333333336</v>
      </c>
      <c r="C654" s="474">
        <f t="shared" si="244"/>
        <v>1591580.5543045157</v>
      </c>
      <c r="D654" s="473">
        <f t="shared" si="244"/>
        <v>20.303333333333331</v>
      </c>
      <c r="E654" s="474">
        <f t="shared" si="244"/>
        <v>1639745.6636811509</v>
      </c>
      <c r="F654" s="473">
        <f t="shared" si="244"/>
        <v>20.519166666666663</v>
      </c>
      <c r="G654" s="474">
        <f t="shared" si="244"/>
        <v>1668101.4346843576</v>
      </c>
      <c r="H654" s="473">
        <v>21.150000000000002</v>
      </c>
      <c r="I654" s="474">
        <v>1728302.7999999998</v>
      </c>
      <c r="J654" s="473">
        <v>21.150000000000002</v>
      </c>
      <c r="K654" s="474">
        <v>1772859.44</v>
      </c>
      <c r="L654" s="435"/>
      <c r="M654" s="473">
        <f>IFERROR(H654-S654,"")</f>
        <v>0</v>
      </c>
      <c r="N654" s="474">
        <f>IFERROR(I654-T654,"")</f>
        <v>0</v>
      </c>
      <c r="O654" s="473">
        <f>IFERROR(J654-U654,"")</f>
        <v>0</v>
      </c>
      <c r="P654" s="474">
        <f>IFERROR(K654-V654,"")</f>
        <v>0</v>
      </c>
      <c r="R654" s="472" t="s">
        <v>205</v>
      </c>
      <c r="S654" s="473">
        <v>21.150000000000002</v>
      </c>
      <c r="T654" s="474">
        <v>1728302.7999999998</v>
      </c>
      <c r="U654" s="473">
        <v>21.150000000000002</v>
      </c>
      <c r="V654" s="474">
        <v>1772859.44</v>
      </c>
    </row>
    <row r="655" spans="1:22" ht="12" thickTop="1" x14ac:dyDescent="0.2">
      <c r="A655" s="475"/>
      <c r="B655" s="477"/>
      <c r="C655" s="476"/>
      <c r="D655" s="477"/>
      <c r="E655" s="476"/>
      <c r="F655" s="477"/>
      <c r="G655" s="476"/>
      <c r="H655" s="477"/>
      <c r="I655" s="476"/>
      <c r="J655" s="477"/>
      <c r="K655" s="476"/>
      <c r="L655" s="435"/>
      <c r="M655" s="477"/>
      <c r="N655" s="476"/>
      <c r="O655" s="477"/>
      <c r="P655" s="476"/>
      <c r="R655" s="475"/>
      <c r="S655" s="477"/>
      <c r="T655" s="476"/>
      <c r="U655" s="477"/>
      <c r="V655" s="476"/>
    </row>
    <row r="656" spans="1:22" ht="12.75" x14ac:dyDescent="0.2">
      <c r="A656" s="476"/>
      <c r="B656" s="493"/>
      <c r="C656" s="483"/>
      <c r="D656" s="493"/>
      <c r="E656" s="483"/>
      <c r="F656" s="493"/>
      <c r="G656" s="483"/>
      <c r="H656" s="493"/>
      <c r="I656" s="494"/>
      <c r="J656" s="493"/>
      <c r="K656" s="494"/>
      <c r="L656" s="435"/>
      <c r="M656" s="493"/>
      <c r="N656" s="494"/>
      <c r="O656" s="493"/>
      <c r="P656" s="494"/>
      <c r="R656" s="476"/>
      <c r="S656" s="493"/>
      <c r="T656" s="494"/>
      <c r="U656" s="493"/>
      <c r="V656" s="494"/>
    </row>
    <row r="657" spans="1:22" x14ac:dyDescent="0.2">
      <c r="A657" s="485" t="s">
        <v>312</v>
      </c>
      <c r="B657" s="487"/>
      <c r="C657" s="486"/>
      <c r="D657" s="487"/>
      <c r="E657" s="486"/>
      <c r="F657" s="487"/>
      <c r="G657" s="486"/>
      <c r="H657" s="487"/>
      <c r="I657" s="486"/>
      <c r="J657" s="487"/>
      <c r="K657" s="486"/>
      <c r="L657" s="435"/>
      <c r="M657" s="487"/>
      <c r="N657" s="486"/>
      <c r="O657" s="487"/>
      <c r="P657" s="486"/>
      <c r="R657" s="485" t="s">
        <v>312</v>
      </c>
      <c r="S657" s="487"/>
      <c r="T657" s="486"/>
      <c r="U657" s="487"/>
      <c r="V657" s="486"/>
    </row>
    <row r="658" spans="1:22" x14ac:dyDescent="0.2">
      <c r="A658" s="455" t="s">
        <v>301</v>
      </c>
      <c r="B658" s="456">
        <v>0</v>
      </c>
      <c r="C658" s="457">
        <v>9250.5950609153933</v>
      </c>
      <c r="D658" s="456">
        <v>0</v>
      </c>
      <c r="E658" s="457">
        <v>11136.827673778724</v>
      </c>
      <c r="F658" s="456">
        <v>0</v>
      </c>
      <c r="G658" s="457">
        <v>17319.049301539937</v>
      </c>
      <c r="H658" s="456">
        <v>0</v>
      </c>
      <c r="I658" s="457">
        <v>16867.989999999994</v>
      </c>
      <c r="J658" s="456">
        <v>0</v>
      </c>
      <c r="K658" s="457">
        <v>17373.96</v>
      </c>
      <c r="L658" s="435"/>
      <c r="M658" s="456">
        <f t="shared" ref="M658:M667" si="245">IFERROR(H658-S658,"")</f>
        <v>0</v>
      </c>
      <c r="N658" s="457">
        <f t="shared" ref="N658:N667" si="246">IFERROR(I658-T658,"")</f>
        <v>0</v>
      </c>
      <c r="O658" s="456">
        <f t="shared" ref="O658:O667" si="247">IFERROR(J658-U658,"")</f>
        <v>0</v>
      </c>
      <c r="P658" s="457">
        <f t="shared" ref="P658:P667" si="248">IFERROR(K658-V658,"")</f>
        <v>0</v>
      </c>
      <c r="R658" s="455" t="s">
        <v>301</v>
      </c>
      <c r="S658" s="456">
        <v>0</v>
      </c>
      <c r="T658" s="457">
        <v>16867.989999999994</v>
      </c>
      <c r="U658" s="456">
        <v>0</v>
      </c>
      <c r="V658" s="457">
        <v>17373.96</v>
      </c>
    </row>
    <row r="659" spans="1:22" x14ac:dyDescent="0.2">
      <c r="A659" s="465" t="s">
        <v>302</v>
      </c>
      <c r="B659" s="461">
        <v>0</v>
      </c>
      <c r="C659" s="462">
        <v>7158.7099507523135</v>
      </c>
      <c r="D659" s="461">
        <v>0</v>
      </c>
      <c r="E659" s="462">
        <v>8856.3188813469515</v>
      </c>
      <c r="F659" s="461">
        <v>0</v>
      </c>
      <c r="G659" s="462">
        <v>11730.655021734543</v>
      </c>
      <c r="H659" s="461">
        <v>0</v>
      </c>
      <c r="I659" s="462">
        <v>9536.1800000000039</v>
      </c>
      <c r="J659" s="461">
        <v>0</v>
      </c>
      <c r="K659" s="462">
        <v>9822.2700000000023</v>
      </c>
      <c r="L659" s="435"/>
      <c r="M659" s="461">
        <f t="shared" si="245"/>
        <v>0</v>
      </c>
      <c r="N659" s="462">
        <f t="shared" si="246"/>
        <v>0</v>
      </c>
      <c r="O659" s="461">
        <f t="shared" si="247"/>
        <v>0</v>
      </c>
      <c r="P659" s="462">
        <f t="shared" si="248"/>
        <v>0</v>
      </c>
      <c r="R659" s="465" t="s">
        <v>302</v>
      </c>
      <c r="S659" s="461">
        <v>0</v>
      </c>
      <c r="T659" s="462">
        <v>9536.1800000000039</v>
      </c>
      <c r="U659" s="461">
        <v>0</v>
      </c>
      <c r="V659" s="462">
        <v>9822.2700000000023</v>
      </c>
    </row>
    <row r="660" spans="1:22" x14ac:dyDescent="0.2">
      <c r="A660" s="460" t="s">
        <v>303</v>
      </c>
      <c r="B660" s="461">
        <v>0</v>
      </c>
      <c r="C660" s="462">
        <v>0</v>
      </c>
      <c r="D660" s="461">
        <v>0</v>
      </c>
      <c r="E660" s="462">
        <v>0</v>
      </c>
      <c r="F660" s="461">
        <v>0</v>
      </c>
      <c r="G660" s="462">
        <v>0</v>
      </c>
      <c r="H660" s="461">
        <v>0</v>
      </c>
      <c r="I660" s="462">
        <v>0</v>
      </c>
      <c r="J660" s="461">
        <v>0</v>
      </c>
      <c r="K660" s="462">
        <v>0</v>
      </c>
      <c r="L660" s="435"/>
      <c r="M660" s="461">
        <f t="shared" si="245"/>
        <v>0</v>
      </c>
      <c r="N660" s="462">
        <f t="shared" si="246"/>
        <v>0</v>
      </c>
      <c r="O660" s="461">
        <f t="shared" si="247"/>
        <v>0</v>
      </c>
      <c r="P660" s="462">
        <f t="shared" si="248"/>
        <v>0</v>
      </c>
      <c r="R660" s="460" t="s">
        <v>303</v>
      </c>
      <c r="S660" s="461">
        <v>0</v>
      </c>
      <c r="T660" s="462">
        <v>0</v>
      </c>
      <c r="U660" s="461">
        <v>0</v>
      </c>
      <c r="V660" s="462">
        <v>0</v>
      </c>
    </row>
    <row r="661" spans="1:22" x14ac:dyDescent="0.2">
      <c r="A661" s="465" t="s">
        <v>304</v>
      </c>
      <c r="B661" s="461">
        <v>0</v>
      </c>
      <c r="C661" s="462">
        <v>0</v>
      </c>
      <c r="D661" s="461">
        <v>0</v>
      </c>
      <c r="E661" s="462">
        <v>0</v>
      </c>
      <c r="F661" s="461">
        <v>0</v>
      </c>
      <c r="G661" s="462">
        <v>0</v>
      </c>
      <c r="H661" s="461">
        <v>0</v>
      </c>
      <c r="I661" s="462">
        <v>0</v>
      </c>
      <c r="J661" s="461">
        <v>0</v>
      </c>
      <c r="K661" s="462">
        <v>0</v>
      </c>
      <c r="L661" s="435"/>
      <c r="M661" s="461">
        <f t="shared" si="245"/>
        <v>0</v>
      </c>
      <c r="N661" s="462">
        <f t="shared" si="246"/>
        <v>0</v>
      </c>
      <c r="O661" s="461">
        <f t="shared" si="247"/>
        <v>0</v>
      </c>
      <c r="P661" s="462">
        <f t="shared" si="248"/>
        <v>0</v>
      </c>
      <c r="R661" s="465" t="s">
        <v>304</v>
      </c>
      <c r="S661" s="461">
        <v>0</v>
      </c>
      <c r="T661" s="462">
        <v>0</v>
      </c>
      <c r="U661" s="461">
        <v>0</v>
      </c>
      <c r="V661" s="462">
        <v>0</v>
      </c>
    </row>
    <row r="662" spans="1:22" x14ac:dyDescent="0.2">
      <c r="A662" s="465" t="s">
        <v>305</v>
      </c>
      <c r="B662" s="461">
        <v>0</v>
      </c>
      <c r="C662" s="462">
        <v>0</v>
      </c>
      <c r="D662" s="461">
        <v>0</v>
      </c>
      <c r="E662" s="462">
        <v>0</v>
      </c>
      <c r="F662" s="461">
        <v>0</v>
      </c>
      <c r="G662" s="462">
        <v>0</v>
      </c>
      <c r="H662" s="461">
        <v>0</v>
      </c>
      <c r="I662" s="462">
        <v>0</v>
      </c>
      <c r="J662" s="461">
        <v>0</v>
      </c>
      <c r="K662" s="462">
        <v>0</v>
      </c>
      <c r="L662" s="435"/>
      <c r="M662" s="461">
        <f t="shared" si="245"/>
        <v>0</v>
      </c>
      <c r="N662" s="462">
        <f t="shared" si="246"/>
        <v>0</v>
      </c>
      <c r="O662" s="461">
        <f t="shared" si="247"/>
        <v>0</v>
      </c>
      <c r="P662" s="462">
        <f t="shared" si="248"/>
        <v>0</v>
      </c>
      <c r="R662" s="465" t="s">
        <v>305</v>
      </c>
      <c r="S662" s="461">
        <v>0</v>
      </c>
      <c r="T662" s="462">
        <v>0</v>
      </c>
      <c r="U662" s="461">
        <v>0</v>
      </c>
      <c r="V662" s="462">
        <v>0</v>
      </c>
    </row>
    <row r="663" spans="1:22" x14ac:dyDescent="0.2">
      <c r="A663" s="465" t="s">
        <v>306</v>
      </c>
      <c r="B663" s="461">
        <v>0</v>
      </c>
      <c r="C663" s="462">
        <v>91221.686952005373</v>
      </c>
      <c r="D663" s="461">
        <v>0</v>
      </c>
      <c r="E663" s="462">
        <v>83011.810213170203</v>
      </c>
      <c r="F663" s="461">
        <v>0</v>
      </c>
      <c r="G663" s="462">
        <v>98879.44934786779</v>
      </c>
      <c r="H663" s="461">
        <v>0</v>
      </c>
      <c r="I663" s="462">
        <v>257550.66999999998</v>
      </c>
      <c r="J663" s="461">
        <v>0</v>
      </c>
      <c r="K663" s="462">
        <v>261083.04000000004</v>
      </c>
      <c r="L663" s="435"/>
      <c r="M663" s="461">
        <f t="shared" si="245"/>
        <v>0</v>
      </c>
      <c r="N663" s="462">
        <f t="shared" si="246"/>
        <v>0</v>
      </c>
      <c r="O663" s="461">
        <f t="shared" si="247"/>
        <v>0</v>
      </c>
      <c r="P663" s="462">
        <f t="shared" si="248"/>
        <v>0</v>
      </c>
      <c r="R663" s="465" t="s">
        <v>306</v>
      </c>
      <c r="S663" s="461">
        <v>0</v>
      </c>
      <c r="T663" s="462">
        <v>257550.66999999998</v>
      </c>
      <c r="U663" s="461">
        <v>0</v>
      </c>
      <c r="V663" s="462">
        <v>261083.04000000004</v>
      </c>
    </row>
    <row r="664" spans="1:22" x14ac:dyDescent="0.2">
      <c r="A664" s="465" t="s">
        <v>307</v>
      </c>
      <c r="B664" s="461">
        <v>0</v>
      </c>
      <c r="C664" s="462">
        <v>0</v>
      </c>
      <c r="D664" s="461">
        <v>0</v>
      </c>
      <c r="E664" s="462">
        <v>0</v>
      </c>
      <c r="F664" s="461">
        <v>0</v>
      </c>
      <c r="G664" s="462">
        <v>0</v>
      </c>
      <c r="H664" s="461">
        <v>0</v>
      </c>
      <c r="I664" s="462">
        <v>0</v>
      </c>
      <c r="J664" s="461">
        <v>0</v>
      </c>
      <c r="K664" s="462">
        <v>0</v>
      </c>
      <c r="L664" s="435"/>
      <c r="M664" s="461">
        <f t="shared" si="245"/>
        <v>0</v>
      </c>
      <c r="N664" s="462">
        <f t="shared" si="246"/>
        <v>0</v>
      </c>
      <c r="O664" s="461">
        <f t="shared" si="247"/>
        <v>0</v>
      </c>
      <c r="P664" s="462">
        <f t="shared" si="248"/>
        <v>0</v>
      </c>
      <c r="R664" s="465" t="s">
        <v>307</v>
      </c>
      <c r="S664" s="461">
        <v>0</v>
      </c>
      <c r="T664" s="462">
        <v>0</v>
      </c>
      <c r="U664" s="461">
        <v>0</v>
      </c>
      <c r="V664" s="462">
        <v>0</v>
      </c>
    </row>
    <row r="665" spans="1:22" x14ac:dyDescent="0.2">
      <c r="A665" s="465" t="s">
        <v>308</v>
      </c>
      <c r="B665" s="461">
        <v>0</v>
      </c>
      <c r="C665" s="462">
        <v>0</v>
      </c>
      <c r="D665" s="461">
        <v>0</v>
      </c>
      <c r="E665" s="462">
        <v>0</v>
      </c>
      <c r="F665" s="461">
        <v>0</v>
      </c>
      <c r="G665" s="462">
        <v>0</v>
      </c>
      <c r="H665" s="461">
        <v>0</v>
      </c>
      <c r="I665" s="462">
        <v>0</v>
      </c>
      <c r="J665" s="461">
        <v>0</v>
      </c>
      <c r="K665" s="462">
        <v>0</v>
      </c>
      <c r="L665" s="435"/>
      <c r="M665" s="461">
        <f t="shared" si="245"/>
        <v>0</v>
      </c>
      <c r="N665" s="462">
        <f t="shared" si="246"/>
        <v>0</v>
      </c>
      <c r="O665" s="461">
        <f t="shared" si="247"/>
        <v>0</v>
      </c>
      <c r="P665" s="462">
        <f t="shared" si="248"/>
        <v>0</v>
      </c>
      <c r="R665" s="465" t="s">
        <v>308</v>
      </c>
      <c r="S665" s="461">
        <v>0</v>
      </c>
      <c r="T665" s="462">
        <v>0</v>
      </c>
      <c r="U665" s="461">
        <v>0</v>
      </c>
      <c r="V665" s="462">
        <v>0</v>
      </c>
    </row>
    <row r="666" spans="1:22" x14ac:dyDescent="0.2">
      <c r="A666" s="465" t="s">
        <v>309</v>
      </c>
      <c r="B666" s="461">
        <v>0</v>
      </c>
      <c r="C666" s="462">
        <v>0</v>
      </c>
      <c r="D666" s="461">
        <v>0</v>
      </c>
      <c r="E666" s="462">
        <v>0</v>
      </c>
      <c r="F666" s="461">
        <v>0</v>
      </c>
      <c r="G666" s="462">
        <v>0</v>
      </c>
      <c r="H666" s="461">
        <v>0</v>
      </c>
      <c r="I666" s="462">
        <v>0</v>
      </c>
      <c r="J666" s="461">
        <v>0</v>
      </c>
      <c r="K666" s="462">
        <v>0</v>
      </c>
      <c r="L666" s="435"/>
      <c r="M666" s="461">
        <f t="shared" si="245"/>
        <v>0</v>
      </c>
      <c r="N666" s="462">
        <f t="shared" si="246"/>
        <v>0</v>
      </c>
      <c r="O666" s="461">
        <f t="shared" si="247"/>
        <v>0</v>
      </c>
      <c r="P666" s="462">
        <f t="shared" si="248"/>
        <v>0</v>
      </c>
      <c r="R666" s="465" t="s">
        <v>309</v>
      </c>
      <c r="S666" s="461">
        <v>0</v>
      </c>
      <c r="T666" s="462">
        <v>0</v>
      </c>
      <c r="U666" s="461">
        <v>0</v>
      </c>
      <c r="V666" s="462">
        <v>0</v>
      </c>
    </row>
    <row r="667" spans="1:22" x14ac:dyDescent="0.2">
      <c r="A667" s="466" t="s">
        <v>310</v>
      </c>
      <c r="B667" s="461">
        <v>0</v>
      </c>
      <c r="C667" s="462">
        <v>0</v>
      </c>
      <c r="D667" s="461">
        <v>0</v>
      </c>
      <c r="E667" s="462">
        <v>0</v>
      </c>
      <c r="F667" s="461">
        <v>0</v>
      </c>
      <c r="G667" s="462">
        <v>0</v>
      </c>
      <c r="H667" s="461">
        <v>0</v>
      </c>
      <c r="I667" s="492">
        <v>0</v>
      </c>
      <c r="J667" s="461">
        <v>0</v>
      </c>
      <c r="K667" s="492">
        <v>0</v>
      </c>
      <c r="L667" s="435"/>
      <c r="M667" s="461">
        <f t="shared" si="245"/>
        <v>0</v>
      </c>
      <c r="N667" s="492">
        <f t="shared" si="246"/>
        <v>0</v>
      </c>
      <c r="O667" s="461">
        <f t="shared" si="247"/>
        <v>0</v>
      </c>
      <c r="P667" s="492">
        <f t="shared" si="248"/>
        <v>0</v>
      </c>
      <c r="R667" s="466" t="s">
        <v>310</v>
      </c>
      <c r="S667" s="461">
        <v>0</v>
      </c>
      <c r="T667" s="492">
        <v>0</v>
      </c>
      <c r="U667" s="461">
        <v>0</v>
      </c>
      <c r="V667" s="492">
        <v>0</v>
      </c>
    </row>
    <row r="668" spans="1:22" ht="3" customHeight="1" x14ac:dyDescent="0.2">
      <c r="A668" s="469"/>
      <c r="B668" s="470"/>
      <c r="C668" s="471"/>
      <c r="D668" s="470"/>
      <c r="E668" s="471"/>
      <c r="F668" s="470"/>
      <c r="G668" s="471"/>
      <c r="H668" s="470"/>
      <c r="I668" s="471"/>
      <c r="J668" s="470"/>
      <c r="K668" s="471"/>
      <c r="L668" s="435"/>
      <c r="M668" s="470"/>
      <c r="N668" s="471"/>
      <c r="O668" s="470"/>
      <c r="P668" s="471"/>
      <c r="R668" s="469"/>
      <c r="S668" s="470"/>
      <c r="T668" s="471"/>
      <c r="U668" s="470"/>
      <c r="V668" s="471"/>
    </row>
    <row r="669" spans="1:22" ht="12" thickBot="1" x14ac:dyDescent="0.25">
      <c r="A669" s="472" t="s">
        <v>205</v>
      </c>
      <c r="B669" s="473">
        <f t="shared" ref="B669:G669" si="249">SUM(B658:B668)</f>
        <v>0</v>
      </c>
      <c r="C669" s="474">
        <f t="shared" si="249"/>
        <v>107630.99196367308</v>
      </c>
      <c r="D669" s="473">
        <f t="shared" si="249"/>
        <v>0</v>
      </c>
      <c r="E669" s="474">
        <f t="shared" si="249"/>
        <v>103004.95676829587</v>
      </c>
      <c r="F669" s="473">
        <f t="shared" si="249"/>
        <v>0</v>
      </c>
      <c r="G669" s="474">
        <f t="shared" si="249"/>
        <v>127929.15367114227</v>
      </c>
      <c r="H669" s="473">
        <v>0</v>
      </c>
      <c r="I669" s="474">
        <v>283954.83999999997</v>
      </c>
      <c r="J669" s="473">
        <v>0</v>
      </c>
      <c r="K669" s="474">
        <v>288279.27</v>
      </c>
      <c r="L669" s="435"/>
      <c r="M669" s="473">
        <f>IFERROR(H669-S669,"")</f>
        <v>0</v>
      </c>
      <c r="N669" s="474">
        <f>IFERROR(I669-T669,"")</f>
        <v>0</v>
      </c>
      <c r="O669" s="473">
        <f>IFERROR(J669-U669,"")</f>
        <v>0</v>
      </c>
      <c r="P669" s="474">
        <f>IFERROR(K669-V669,"")</f>
        <v>0</v>
      </c>
      <c r="R669" s="472" t="s">
        <v>205</v>
      </c>
      <c r="S669" s="473">
        <v>0</v>
      </c>
      <c r="T669" s="474">
        <v>283954.83999999997</v>
      </c>
      <c r="U669" s="473">
        <v>0</v>
      </c>
      <c r="V669" s="474">
        <v>288279.27</v>
      </c>
    </row>
    <row r="670" spans="1:22" ht="12" thickTop="1" x14ac:dyDescent="0.2">
      <c r="A670" s="475"/>
      <c r="B670" s="477"/>
      <c r="C670" s="476"/>
      <c r="D670" s="477"/>
      <c r="E670" s="476"/>
      <c r="F670" s="477"/>
      <c r="G670" s="476"/>
      <c r="H670" s="477"/>
      <c r="I670" s="476"/>
      <c r="J670" s="477"/>
      <c r="K670" s="476"/>
      <c r="L670" s="435"/>
      <c r="M670" s="477"/>
      <c r="N670" s="476"/>
      <c r="O670" s="477"/>
      <c r="P670" s="476"/>
      <c r="R670" s="475"/>
      <c r="S670" s="477"/>
      <c r="T670" s="476"/>
      <c r="U670" s="477"/>
      <c r="V670" s="476"/>
    </row>
    <row r="671" spans="1:22" x14ac:dyDescent="0.2">
      <c r="A671" s="476"/>
      <c r="B671" s="477"/>
      <c r="C671" s="476"/>
      <c r="D671" s="477"/>
      <c r="E671" s="476"/>
      <c r="F671" s="477"/>
      <c r="G671" s="476"/>
      <c r="H671" s="477"/>
      <c r="I671" s="476"/>
      <c r="J671" s="477"/>
      <c r="K671" s="476"/>
      <c r="L671" s="435"/>
      <c r="M671" s="477"/>
      <c r="N671" s="476"/>
      <c r="O671" s="477"/>
      <c r="P671" s="476"/>
      <c r="R671" s="476"/>
      <c r="S671" s="477"/>
      <c r="T671" s="476"/>
      <c r="U671" s="477"/>
      <c r="V671" s="476"/>
    </row>
    <row r="672" spans="1:22" x14ac:dyDescent="0.2">
      <c r="A672" s="480" t="s">
        <v>313</v>
      </c>
      <c r="B672" s="487"/>
      <c r="C672" s="486"/>
      <c r="D672" s="487"/>
      <c r="E672" s="486"/>
      <c r="F672" s="487"/>
      <c r="G672" s="486"/>
      <c r="H672" s="487"/>
      <c r="I672" s="486"/>
      <c r="J672" s="487"/>
      <c r="K672" s="486"/>
      <c r="L672" s="435"/>
      <c r="M672" s="487"/>
      <c r="N672" s="486"/>
      <c r="O672" s="487"/>
      <c r="P672" s="486"/>
      <c r="R672" s="480" t="s">
        <v>313</v>
      </c>
      <c r="S672" s="487"/>
      <c r="T672" s="486"/>
      <c r="U672" s="487"/>
      <c r="V672" s="486"/>
    </row>
    <row r="673" spans="1:22" x14ac:dyDescent="0.2">
      <c r="A673" s="455" t="s">
        <v>301</v>
      </c>
      <c r="B673" s="456">
        <v>0</v>
      </c>
      <c r="C673" s="457">
        <v>0</v>
      </c>
      <c r="D673" s="456">
        <v>0</v>
      </c>
      <c r="E673" s="457">
        <v>0</v>
      </c>
      <c r="F673" s="456">
        <v>0</v>
      </c>
      <c r="G673" s="457">
        <v>0</v>
      </c>
      <c r="H673" s="456">
        <v>0</v>
      </c>
      <c r="I673" s="457">
        <v>0</v>
      </c>
      <c r="J673" s="456">
        <v>0</v>
      </c>
      <c r="K673" s="457">
        <v>0</v>
      </c>
      <c r="L673" s="435"/>
      <c r="M673" s="456">
        <f t="shared" ref="M673:M682" si="250">IFERROR(H673-S673,"")</f>
        <v>0</v>
      </c>
      <c r="N673" s="457">
        <f t="shared" ref="N673:N682" si="251">IFERROR(I673-T673,"")</f>
        <v>0</v>
      </c>
      <c r="O673" s="456">
        <f t="shared" ref="O673:O682" si="252">IFERROR(J673-U673,"")</f>
        <v>0</v>
      </c>
      <c r="P673" s="457">
        <f t="shared" ref="P673:P682" si="253">IFERROR(K673-V673,"")</f>
        <v>0</v>
      </c>
      <c r="R673" s="455" t="s">
        <v>301</v>
      </c>
      <c r="S673" s="456">
        <v>0</v>
      </c>
      <c r="T673" s="457">
        <v>0</v>
      </c>
      <c r="U673" s="456">
        <v>0</v>
      </c>
      <c r="V673" s="457">
        <v>0</v>
      </c>
    </row>
    <row r="674" spans="1:22" x14ac:dyDescent="0.2">
      <c r="A674" s="465" t="s">
        <v>302</v>
      </c>
      <c r="B674" s="461">
        <v>0</v>
      </c>
      <c r="C674" s="462">
        <v>0</v>
      </c>
      <c r="D674" s="461">
        <v>0</v>
      </c>
      <c r="E674" s="462">
        <v>88.95199418845155</v>
      </c>
      <c r="F674" s="461">
        <v>0</v>
      </c>
      <c r="G674" s="462">
        <v>59.330745716096814</v>
      </c>
      <c r="H674" s="461">
        <v>0</v>
      </c>
      <c r="I674" s="462">
        <v>81.319999999999993</v>
      </c>
      <c r="J674" s="461">
        <v>0</v>
      </c>
      <c r="K674" s="462">
        <v>83.74</v>
      </c>
      <c r="L674" s="435"/>
      <c r="M674" s="461">
        <f t="shared" si="250"/>
        <v>0</v>
      </c>
      <c r="N674" s="462">
        <f t="shared" si="251"/>
        <v>0</v>
      </c>
      <c r="O674" s="461">
        <f t="shared" si="252"/>
        <v>0</v>
      </c>
      <c r="P674" s="462">
        <f t="shared" si="253"/>
        <v>0</v>
      </c>
      <c r="R674" s="465" t="s">
        <v>302</v>
      </c>
      <c r="S674" s="461">
        <v>0</v>
      </c>
      <c r="T674" s="462">
        <v>81.319999999999993</v>
      </c>
      <c r="U674" s="461">
        <v>0</v>
      </c>
      <c r="V674" s="462">
        <v>83.74</v>
      </c>
    </row>
    <row r="675" spans="1:22" x14ac:dyDescent="0.2">
      <c r="A675" s="460" t="s">
        <v>303</v>
      </c>
      <c r="B675" s="461">
        <v>0</v>
      </c>
      <c r="C675" s="462">
        <v>0</v>
      </c>
      <c r="D675" s="461">
        <v>0</v>
      </c>
      <c r="E675" s="462">
        <v>0</v>
      </c>
      <c r="F675" s="461">
        <v>0</v>
      </c>
      <c r="G675" s="462">
        <v>0</v>
      </c>
      <c r="H675" s="461">
        <v>0</v>
      </c>
      <c r="I675" s="462">
        <v>0</v>
      </c>
      <c r="J675" s="461">
        <v>0</v>
      </c>
      <c r="K675" s="462">
        <v>0</v>
      </c>
      <c r="L675" s="435"/>
      <c r="M675" s="461">
        <f t="shared" si="250"/>
        <v>0</v>
      </c>
      <c r="N675" s="462">
        <f t="shared" si="251"/>
        <v>0</v>
      </c>
      <c r="O675" s="461">
        <f t="shared" si="252"/>
        <v>0</v>
      </c>
      <c r="P675" s="462">
        <f t="shared" si="253"/>
        <v>0</v>
      </c>
      <c r="R675" s="460" t="s">
        <v>303</v>
      </c>
      <c r="S675" s="461">
        <v>0</v>
      </c>
      <c r="T675" s="462">
        <v>0</v>
      </c>
      <c r="U675" s="461">
        <v>0</v>
      </c>
      <c r="V675" s="462">
        <v>0</v>
      </c>
    </row>
    <row r="676" spans="1:22" x14ac:dyDescent="0.2">
      <c r="A676" s="465" t="s">
        <v>304</v>
      </c>
      <c r="B676" s="461">
        <v>0</v>
      </c>
      <c r="C676" s="462">
        <v>0</v>
      </c>
      <c r="D676" s="461">
        <v>0</v>
      </c>
      <c r="E676" s="462">
        <v>0</v>
      </c>
      <c r="F676" s="461">
        <v>0</v>
      </c>
      <c r="G676" s="462">
        <v>0</v>
      </c>
      <c r="H676" s="461">
        <v>0</v>
      </c>
      <c r="I676" s="462">
        <v>0</v>
      </c>
      <c r="J676" s="461">
        <v>0</v>
      </c>
      <c r="K676" s="462">
        <v>0</v>
      </c>
      <c r="L676" s="435"/>
      <c r="M676" s="461">
        <f t="shared" si="250"/>
        <v>0</v>
      </c>
      <c r="N676" s="462">
        <f t="shared" si="251"/>
        <v>0</v>
      </c>
      <c r="O676" s="461">
        <f t="shared" si="252"/>
        <v>0</v>
      </c>
      <c r="P676" s="462">
        <f t="shared" si="253"/>
        <v>0</v>
      </c>
      <c r="R676" s="465" t="s">
        <v>304</v>
      </c>
      <c r="S676" s="461">
        <v>0</v>
      </c>
      <c r="T676" s="462">
        <v>0</v>
      </c>
      <c r="U676" s="461">
        <v>0</v>
      </c>
      <c r="V676" s="462">
        <v>0</v>
      </c>
    </row>
    <row r="677" spans="1:22" x14ac:dyDescent="0.2">
      <c r="A677" s="465" t="s">
        <v>305</v>
      </c>
      <c r="B677" s="461">
        <v>0</v>
      </c>
      <c r="C677" s="462">
        <v>0</v>
      </c>
      <c r="D677" s="461">
        <v>0</v>
      </c>
      <c r="E677" s="462">
        <v>0</v>
      </c>
      <c r="F677" s="461">
        <v>0</v>
      </c>
      <c r="G677" s="462">
        <v>0</v>
      </c>
      <c r="H677" s="461">
        <v>0</v>
      </c>
      <c r="I677" s="462">
        <v>0</v>
      </c>
      <c r="J677" s="461">
        <v>0</v>
      </c>
      <c r="K677" s="462">
        <v>0</v>
      </c>
      <c r="L677" s="435"/>
      <c r="M677" s="461">
        <f t="shared" si="250"/>
        <v>0</v>
      </c>
      <c r="N677" s="462">
        <f t="shared" si="251"/>
        <v>0</v>
      </c>
      <c r="O677" s="461">
        <f t="shared" si="252"/>
        <v>0</v>
      </c>
      <c r="P677" s="462">
        <f t="shared" si="253"/>
        <v>0</v>
      </c>
      <c r="R677" s="465" t="s">
        <v>305</v>
      </c>
      <c r="S677" s="461">
        <v>0</v>
      </c>
      <c r="T677" s="462">
        <v>0</v>
      </c>
      <c r="U677" s="461">
        <v>0</v>
      </c>
      <c r="V677" s="462">
        <v>0</v>
      </c>
    </row>
    <row r="678" spans="1:22" x14ac:dyDescent="0.2">
      <c r="A678" s="465" t="s">
        <v>306</v>
      </c>
      <c r="B678" s="461">
        <v>0</v>
      </c>
      <c r="C678" s="462">
        <v>55606.736948083999</v>
      </c>
      <c r="D678" s="461">
        <v>0</v>
      </c>
      <c r="E678" s="462">
        <v>83952.042652704316</v>
      </c>
      <c r="F678" s="461">
        <v>0</v>
      </c>
      <c r="G678" s="462">
        <v>183828.11773484401</v>
      </c>
      <c r="H678" s="461">
        <v>0</v>
      </c>
      <c r="I678" s="462">
        <v>174054.86</v>
      </c>
      <c r="J678" s="461">
        <v>0</v>
      </c>
      <c r="K678" s="462">
        <v>179277.96</v>
      </c>
      <c r="L678" s="435"/>
      <c r="M678" s="461">
        <f t="shared" si="250"/>
        <v>0</v>
      </c>
      <c r="N678" s="462">
        <f t="shared" si="251"/>
        <v>0</v>
      </c>
      <c r="O678" s="461">
        <f t="shared" si="252"/>
        <v>0</v>
      </c>
      <c r="P678" s="462">
        <f t="shared" si="253"/>
        <v>0</v>
      </c>
      <c r="R678" s="465" t="s">
        <v>306</v>
      </c>
      <c r="S678" s="461">
        <v>0</v>
      </c>
      <c r="T678" s="462">
        <v>174054.86</v>
      </c>
      <c r="U678" s="461">
        <v>0</v>
      </c>
      <c r="V678" s="462">
        <v>179277.96</v>
      </c>
    </row>
    <row r="679" spans="1:22" x14ac:dyDescent="0.2">
      <c r="A679" s="465" t="s">
        <v>307</v>
      </c>
      <c r="B679" s="461">
        <v>0</v>
      </c>
      <c r="C679" s="462">
        <v>0</v>
      </c>
      <c r="D679" s="461">
        <v>0</v>
      </c>
      <c r="E679" s="462">
        <v>0</v>
      </c>
      <c r="F679" s="461">
        <v>0</v>
      </c>
      <c r="G679" s="462">
        <v>0</v>
      </c>
      <c r="H679" s="461">
        <v>0</v>
      </c>
      <c r="I679" s="462">
        <v>0</v>
      </c>
      <c r="J679" s="461">
        <v>0</v>
      </c>
      <c r="K679" s="462">
        <v>0</v>
      </c>
      <c r="L679" s="435"/>
      <c r="M679" s="461">
        <f t="shared" si="250"/>
        <v>0</v>
      </c>
      <c r="N679" s="462">
        <f t="shared" si="251"/>
        <v>0</v>
      </c>
      <c r="O679" s="461">
        <f t="shared" si="252"/>
        <v>0</v>
      </c>
      <c r="P679" s="462">
        <f t="shared" si="253"/>
        <v>0</v>
      </c>
      <c r="R679" s="465" t="s">
        <v>307</v>
      </c>
      <c r="S679" s="461">
        <v>0</v>
      </c>
      <c r="T679" s="462">
        <v>0</v>
      </c>
      <c r="U679" s="461">
        <v>0</v>
      </c>
      <c r="V679" s="462">
        <v>0</v>
      </c>
    </row>
    <row r="680" spans="1:22" x14ac:dyDescent="0.2">
      <c r="A680" s="465" t="s">
        <v>308</v>
      </c>
      <c r="B680" s="461">
        <v>0</v>
      </c>
      <c r="C680" s="462">
        <v>0</v>
      </c>
      <c r="D680" s="461">
        <v>0</v>
      </c>
      <c r="E680" s="462">
        <v>0</v>
      </c>
      <c r="F680" s="461">
        <v>0</v>
      </c>
      <c r="G680" s="462">
        <v>0</v>
      </c>
      <c r="H680" s="461">
        <v>0</v>
      </c>
      <c r="I680" s="462">
        <v>0</v>
      </c>
      <c r="J680" s="461">
        <v>0</v>
      </c>
      <c r="K680" s="462">
        <v>0</v>
      </c>
      <c r="L680" s="435"/>
      <c r="M680" s="461">
        <f t="shared" si="250"/>
        <v>0</v>
      </c>
      <c r="N680" s="462">
        <f t="shared" si="251"/>
        <v>0</v>
      </c>
      <c r="O680" s="461">
        <f t="shared" si="252"/>
        <v>0</v>
      </c>
      <c r="P680" s="462">
        <f t="shared" si="253"/>
        <v>0</v>
      </c>
      <c r="R680" s="465" t="s">
        <v>308</v>
      </c>
      <c r="S680" s="461">
        <v>0</v>
      </c>
      <c r="T680" s="462">
        <v>0</v>
      </c>
      <c r="U680" s="461">
        <v>0</v>
      </c>
      <c r="V680" s="462">
        <v>0</v>
      </c>
    </row>
    <row r="681" spans="1:22" x14ac:dyDescent="0.2">
      <c r="A681" s="465" t="s">
        <v>309</v>
      </c>
      <c r="B681" s="461">
        <v>0</v>
      </c>
      <c r="C681" s="462">
        <v>0</v>
      </c>
      <c r="D681" s="461">
        <v>0</v>
      </c>
      <c r="E681" s="462">
        <v>0</v>
      </c>
      <c r="F681" s="461">
        <v>0</v>
      </c>
      <c r="G681" s="462">
        <v>0</v>
      </c>
      <c r="H681" s="461">
        <v>0</v>
      </c>
      <c r="I681" s="462">
        <v>0</v>
      </c>
      <c r="J681" s="461">
        <v>0</v>
      </c>
      <c r="K681" s="462">
        <v>0</v>
      </c>
      <c r="L681" s="435"/>
      <c r="M681" s="461">
        <f t="shared" si="250"/>
        <v>0</v>
      </c>
      <c r="N681" s="462">
        <f t="shared" si="251"/>
        <v>0</v>
      </c>
      <c r="O681" s="461">
        <f t="shared" si="252"/>
        <v>0</v>
      </c>
      <c r="P681" s="462">
        <f t="shared" si="253"/>
        <v>0</v>
      </c>
      <c r="R681" s="465" t="s">
        <v>309</v>
      </c>
      <c r="S681" s="461">
        <v>0</v>
      </c>
      <c r="T681" s="462">
        <v>0</v>
      </c>
      <c r="U681" s="461">
        <v>0</v>
      </c>
      <c r="V681" s="462">
        <v>0</v>
      </c>
    </row>
    <row r="682" spans="1:22" x14ac:dyDescent="0.2">
      <c r="A682" s="466" t="s">
        <v>310</v>
      </c>
      <c r="B682" s="461">
        <v>0</v>
      </c>
      <c r="C682" s="462">
        <v>0</v>
      </c>
      <c r="D682" s="461">
        <v>0</v>
      </c>
      <c r="E682" s="462">
        <v>0</v>
      </c>
      <c r="F682" s="461">
        <v>0</v>
      </c>
      <c r="G682" s="462">
        <v>0</v>
      </c>
      <c r="H682" s="461">
        <v>0</v>
      </c>
      <c r="I682" s="492">
        <v>0</v>
      </c>
      <c r="J682" s="461">
        <v>0</v>
      </c>
      <c r="K682" s="492">
        <v>0</v>
      </c>
      <c r="L682" s="435"/>
      <c r="M682" s="461">
        <f t="shared" si="250"/>
        <v>0</v>
      </c>
      <c r="N682" s="492">
        <f t="shared" si="251"/>
        <v>0</v>
      </c>
      <c r="O682" s="461">
        <f t="shared" si="252"/>
        <v>0</v>
      </c>
      <c r="P682" s="492">
        <f t="shared" si="253"/>
        <v>0</v>
      </c>
      <c r="R682" s="466" t="s">
        <v>310</v>
      </c>
      <c r="S682" s="461">
        <v>0</v>
      </c>
      <c r="T682" s="492">
        <v>0</v>
      </c>
      <c r="U682" s="461">
        <v>0</v>
      </c>
      <c r="V682" s="492">
        <v>0</v>
      </c>
    </row>
    <row r="683" spans="1:22" ht="3" customHeight="1" x14ac:dyDescent="0.2">
      <c r="A683" s="469"/>
      <c r="B683" s="470"/>
      <c r="C683" s="471"/>
      <c r="D683" s="470"/>
      <c r="E683" s="471"/>
      <c r="F683" s="470"/>
      <c r="G683" s="471"/>
      <c r="H683" s="470"/>
      <c r="I683" s="471"/>
      <c r="J683" s="470"/>
      <c r="K683" s="471"/>
      <c r="L683" s="435"/>
      <c r="M683" s="470"/>
      <c r="N683" s="471"/>
      <c r="O683" s="470"/>
      <c r="P683" s="471"/>
      <c r="R683" s="469"/>
      <c r="S683" s="470"/>
      <c r="T683" s="471"/>
      <c r="U683" s="470"/>
      <c r="V683" s="471"/>
    </row>
    <row r="684" spans="1:22" ht="12" thickBot="1" x14ac:dyDescent="0.25">
      <c r="A684" s="472" t="s">
        <v>205</v>
      </c>
      <c r="B684" s="473">
        <f t="shared" ref="B684:G684" si="254">SUM(B673:B683)</f>
        <v>0</v>
      </c>
      <c r="C684" s="474">
        <f t="shared" si="254"/>
        <v>55606.736948083999</v>
      </c>
      <c r="D684" s="473">
        <f t="shared" si="254"/>
        <v>0</v>
      </c>
      <c r="E684" s="474">
        <f t="shared" si="254"/>
        <v>84040.994646892766</v>
      </c>
      <c r="F684" s="473">
        <f t="shared" si="254"/>
        <v>0</v>
      </c>
      <c r="G684" s="474">
        <f t="shared" si="254"/>
        <v>183887.4484805601</v>
      </c>
      <c r="H684" s="473">
        <v>0</v>
      </c>
      <c r="I684" s="474">
        <v>174136.18</v>
      </c>
      <c r="J684" s="473">
        <v>0</v>
      </c>
      <c r="K684" s="474">
        <v>179361.69999999998</v>
      </c>
      <c r="L684" s="435"/>
      <c r="M684" s="473">
        <f>IFERROR(H684-S684,"")</f>
        <v>0</v>
      </c>
      <c r="N684" s="474">
        <f>IFERROR(I684-T684,"")</f>
        <v>0</v>
      </c>
      <c r="O684" s="473">
        <f>IFERROR(J684-U684,"")</f>
        <v>0</v>
      </c>
      <c r="P684" s="474">
        <f>IFERROR(K684-V684,"")</f>
        <v>0</v>
      </c>
      <c r="R684" s="472" t="s">
        <v>205</v>
      </c>
      <c r="S684" s="473">
        <v>0</v>
      </c>
      <c r="T684" s="474">
        <v>174136.18</v>
      </c>
      <c r="U684" s="473">
        <v>0</v>
      </c>
      <c r="V684" s="474">
        <v>179361.69999999998</v>
      </c>
    </row>
    <row r="685" spans="1:22" ht="12" thickTop="1" x14ac:dyDescent="0.2">
      <c r="A685" s="475"/>
      <c r="B685" s="477"/>
      <c r="C685" s="476"/>
      <c r="D685" s="477"/>
      <c r="E685" s="476"/>
      <c r="F685" s="477"/>
      <c r="G685" s="476"/>
      <c r="H685" s="477"/>
      <c r="I685" s="476"/>
      <c r="J685" s="477"/>
      <c r="K685" s="476"/>
      <c r="L685" s="435"/>
      <c r="M685" s="477"/>
      <c r="N685" s="476"/>
      <c r="O685" s="477"/>
      <c r="P685" s="476"/>
      <c r="R685" s="475"/>
      <c r="S685" s="477"/>
      <c r="T685" s="476"/>
      <c r="U685" s="477"/>
      <c r="V685" s="476"/>
    </row>
    <row r="686" spans="1:22" x14ac:dyDescent="0.2">
      <c r="A686" s="476"/>
      <c r="B686" s="477"/>
      <c r="C686" s="476"/>
      <c r="D686" s="477"/>
      <c r="E686" s="476"/>
      <c r="F686" s="477"/>
      <c r="G686" s="476"/>
      <c r="H686" s="477"/>
      <c r="I686" s="476"/>
      <c r="J686" s="477"/>
      <c r="K686" s="476"/>
      <c r="L686" s="435"/>
      <c r="M686" s="477"/>
      <c r="N686" s="476"/>
      <c r="O686" s="477"/>
      <c r="P686" s="476"/>
      <c r="R686" s="476"/>
      <c r="S686" s="477"/>
      <c r="T686" s="476"/>
      <c r="U686" s="477"/>
      <c r="V686" s="476"/>
    </row>
    <row r="687" spans="1:22" x14ac:dyDescent="0.2">
      <c r="A687" s="480" t="s">
        <v>314</v>
      </c>
      <c r="B687" s="482"/>
      <c r="C687" s="481"/>
      <c r="D687" s="482"/>
      <c r="E687" s="481"/>
      <c r="F687" s="482"/>
      <c r="G687" s="481"/>
      <c r="H687" s="482"/>
      <c r="I687" s="481"/>
      <c r="J687" s="482"/>
      <c r="K687" s="481"/>
      <c r="L687" s="435"/>
      <c r="M687" s="482"/>
      <c r="N687" s="481"/>
      <c r="O687" s="482"/>
      <c r="P687" s="481"/>
      <c r="R687" s="480" t="s">
        <v>314</v>
      </c>
      <c r="S687" s="482"/>
      <c r="T687" s="481"/>
      <c r="U687" s="482"/>
      <c r="V687" s="481"/>
    </row>
    <row r="688" spans="1:22" x14ac:dyDescent="0.2">
      <c r="A688" s="455" t="s">
        <v>301</v>
      </c>
      <c r="B688" s="456">
        <v>0</v>
      </c>
      <c r="C688" s="457">
        <v>0</v>
      </c>
      <c r="D688" s="456">
        <v>0</v>
      </c>
      <c r="E688" s="457">
        <v>0</v>
      </c>
      <c r="F688" s="456">
        <v>0</v>
      </c>
      <c r="G688" s="457">
        <v>0</v>
      </c>
      <c r="H688" s="456">
        <v>0</v>
      </c>
      <c r="I688" s="457">
        <v>0</v>
      </c>
      <c r="J688" s="456">
        <v>0</v>
      </c>
      <c r="K688" s="457">
        <v>0</v>
      </c>
      <c r="L688" s="435"/>
      <c r="M688" s="456">
        <f t="shared" ref="M688:M697" si="255">IFERROR(H688-S688,"")</f>
        <v>0</v>
      </c>
      <c r="N688" s="457">
        <f t="shared" ref="N688:N697" si="256">IFERROR(I688-T688,"")</f>
        <v>0</v>
      </c>
      <c r="O688" s="456">
        <f t="shared" ref="O688:O697" si="257">IFERROR(J688-U688,"")</f>
        <v>0</v>
      </c>
      <c r="P688" s="457">
        <f t="shared" ref="P688:P697" si="258">IFERROR(K688-V688,"")</f>
        <v>0</v>
      </c>
      <c r="R688" s="455" t="s">
        <v>301</v>
      </c>
      <c r="S688" s="456">
        <v>0</v>
      </c>
      <c r="T688" s="457">
        <v>0</v>
      </c>
      <c r="U688" s="456">
        <v>0</v>
      </c>
      <c r="V688" s="457">
        <v>0</v>
      </c>
    </row>
    <row r="689" spans="1:29" x14ac:dyDescent="0.2">
      <c r="A689" s="465" t="s">
        <v>302</v>
      </c>
      <c r="B689" s="461">
        <v>0</v>
      </c>
      <c r="C689" s="462">
        <v>0</v>
      </c>
      <c r="D689" s="461">
        <v>0</v>
      </c>
      <c r="E689" s="462">
        <v>0</v>
      </c>
      <c r="F689" s="461">
        <v>0</v>
      </c>
      <c r="G689" s="462">
        <v>0</v>
      </c>
      <c r="H689" s="461">
        <v>0</v>
      </c>
      <c r="I689" s="462">
        <v>0</v>
      </c>
      <c r="J689" s="461">
        <v>0</v>
      </c>
      <c r="K689" s="462">
        <v>0</v>
      </c>
      <c r="L689" s="435"/>
      <c r="M689" s="461">
        <f t="shared" si="255"/>
        <v>0</v>
      </c>
      <c r="N689" s="462">
        <f t="shared" si="256"/>
        <v>0</v>
      </c>
      <c r="O689" s="461">
        <f t="shared" si="257"/>
        <v>0</v>
      </c>
      <c r="P689" s="462">
        <f t="shared" si="258"/>
        <v>0</v>
      </c>
      <c r="R689" s="465" t="s">
        <v>302</v>
      </c>
      <c r="S689" s="461">
        <v>0</v>
      </c>
      <c r="T689" s="462">
        <v>0</v>
      </c>
      <c r="U689" s="461">
        <v>0</v>
      </c>
      <c r="V689" s="462">
        <v>0</v>
      </c>
    </row>
    <row r="690" spans="1:29" x14ac:dyDescent="0.2">
      <c r="A690" s="460" t="s">
        <v>303</v>
      </c>
      <c r="B690" s="461">
        <v>0</v>
      </c>
      <c r="C690" s="462">
        <v>0</v>
      </c>
      <c r="D690" s="461">
        <v>0</v>
      </c>
      <c r="E690" s="462">
        <v>0</v>
      </c>
      <c r="F690" s="461">
        <v>0</v>
      </c>
      <c r="G690" s="462">
        <v>0</v>
      </c>
      <c r="H690" s="461">
        <v>0</v>
      </c>
      <c r="I690" s="462">
        <v>0</v>
      </c>
      <c r="J690" s="461">
        <v>0</v>
      </c>
      <c r="K690" s="462">
        <v>0</v>
      </c>
      <c r="L690" s="435"/>
      <c r="M690" s="461">
        <f t="shared" si="255"/>
        <v>0</v>
      </c>
      <c r="N690" s="462">
        <f t="shared" si="256"/>
        <v>0</v>
      </c>
      <c r="O690" s="461">
        <f t="shared" si="257"/>
        <v>0</v>
      </c>
      <c r="P690" s="462">
        <f t="shared" si="258"/>
        <v>0</v>
      </c>
      <c r="R690" s="460" t="s">
        <v>303</v>
      </c>
      <c r="S690" s="461">
        <v>0</v>
      </c>
      <c r="T690" s="462">
        <v>0</v>
      </c>
      <c r="U690" s="461">
        <v>0</v>
      </c>
      <c r="V690" s="462">
        <v>0</v>
      </c>
    </row>
    <row r="691" spans="1:29" x14ac:dyDescent="0.2">
      <c r="A691" s="465" t="s">
        <v>304</v>
      </c>
      <c r="B691" s="461">
        <v>0</v>
      </c>
      <c r="C691" s="462">
        <v>0</v>
      </c>
      <c r="D691" s="461">
        <v>0</v>
      </c>
      <c r="E691" s="462">
        <v>0</v>
      </c>
      <c r="F691" s="461">
        <v>0</v>
      </c>
      <c r="G691" s="462">
        <v>0</v>
      </c>
      <c r="H691" s="461">
        <v>0</v>
      </c>
      <c r="I691" s="462">
        <v>0</v>
      </c>
      <c r="J691" s="461">
        <v>0</v>
      </c>
      <c r="K691" s="462">
        <v>0</v>
      </c>
      <c r="L691" s="435"/>
      <c r="M691" s="461">
        <f t="shared" si="255"/>
        <v>0</v>
      </c>
      <c r="N691" s="462">
        <f t="shared" si="256"/>
        <v>0</v>
      </c>
      <c r="O691" s="461">
        <f t="shared" si="257"/>
        <v>0</v>
      </c>
      <c r="P691" s="462">
        <f t="shared" si="258"/>
        <v>0</v>
      </c>
      <c r="R691" s="465" t="s">
        <v>304</v>
      </c>
      <c r="S691" s="461">
        <v>0</v>
      </c>
      <c r="T691" s="462">
        <v>0</v>
      </c>
      <c r="U691" s="461">
        <v>0</v>
      </c>
      <c r="V691" s="462">
        <v>0</v>
      </c>
    </row>
    <row r="692" spans="1:29" x14ac:dyDescent="0.2">
      <c r="A692" s="465" t="s">
        <v>305</v>
      </c>
      <c r="B692" s="461">
        <v>0</v>
      </c>
      <c r="C692" s="462">
        <v>0</v>
      </c>
      <c r="D692" s="461">
        <v>0</v>
      </c>
      <c r="E692" s="462">
        <v>0</v>
      </c>
      <c r="F692" s="461">
        <v>0</v>
      </c>
      <c r="G692" s="462">
        <v>631.28188659575665</v>
      </c>
      <c r="H692" s="461">
        <v>0</v>
      </c>
      <c r="I692" s="462">
        <v>0</v>
      </c>
      <c r="J692" s="461">
        <v>0</v>
      </c>
      <c r="K692" s="462">
        <v>0</v>
      </c>
      <c r="L692" s="435"/>
      <c r="M692" s="461">
        <f t="shared" si="255"/>
        <v>0</v>
      </c>
      <c r="N692" s="462">
        <f t="shared" si="256"/>
        <v>0</v>
      </c>
      <c r="O692" s="461">
        <f t="shared" si="257"/>
        <v>0</v>
      </c>
      <c r="P692" s="462">
        <f t="shared" si="258"/>
        <v>0</v>
      </c>
      <c r="R692" s="465" t="s">
        <v>305</v>
      </c>
      <c r="S692" s="461">
        <v>0</v>
      </c>
      <c r="T692" s="462">
        <v>0</v>
      </c>
      <c r="U692" s="461">
        <v>0</v>
      </c>
      <c r="V692" s="462">
        <v>0</v>
      </c>
    </row>
    <row r="693" spans="1:29" x14ac:dyDescent="0.2">
      <c r="A693" s="465" t="s">
        <v>306</v>
      </c>
      <c r="B693" s="461">
        <v>0</v>
      </c>
      <c r="C693" s="462">
        <v>235028.88840197161</v>
      </c>
      <c r="D693" s="461">
        <v>0</v>
      </c>
      <c r="E693" s="462">
        <v>301286.12708859431</v>
      </c>
      <c r="F693" s="461">
        <v>0</v>
      </c>
      <c r="G693" s="462">
        <v>383108.78524855617</v>
      </c>
      <c r="H693" s="461">
        <v>0</v>
      </c>
      <c r="I693" s="462">
        <v>446129.74999999994</v>
      </c>
      <c r="J693" s="461">
        <v>0</v>
      </c>
      <c r="K693" s="462">
        <v>455364.08</v>
      </c>
      <c r="L693" s="435"/>
      <c r="M693" s="461">
        <f t="shared" si="255"/>
        <v>0</v>
      </c>
      <c r="N693" s="462">
        <f t="shared" si="256"/>
        <v>0</v>
      </c>
      <c r="O693" s="461">
        <f t="shared" si="257"/>
        <v>0</v>
      </c>
      <c r="P693" s="462">
        <f t="shared" si="258"/>
        <v>0</v>
      </c>
      <c r="R693" s="465" t="s">
        <v>306</v>
      </c>
      <c r="S693" s="461">
        <v>0</v>
      </c>
      <c r="T693" s="462">
        <v>446129.74999999994</v>
      </c>
      <c r="U693" s="461">
        <v>0</v>
      </c>
      <c r="V693" s="462">
        <v>455364.08</v>
      </c>
    </row>
    <row r="694" spans="1:29" x14ac:dyDescent="0.2">
      <c r="A694" s="465" t="s">
        <v>307</v>
      </c>
      <c r="B694" s="461">
        <v>0</v>
      </c>
      <c r="C694" s="462">
        <v>0</v>
      </c>
      <c r="D694" s="461">
        <v>0</v>
      </c>
      <c r="E694" s="462">
        <v>0</v>
      </c>
      <c r="F694" s="461">
        <v>0</v>
      </c>
      <c r="G694" s="462">
        <v>0</v>
      </c>
      <c r="H694" s="461">
        <v>0</v>
      </c>
      <c r="I694" s="462">
        <v>0</v>
      </c>
      <c r="J694" s="461">
        <v>0</v>
      </c>
      <c r="K694" s="462">
        <v>0</v>
      </c>
      <c r="L694" s="435"/>
      <c r="M694" s="461">
        <f t="shared" si="255"/>
        <v>0</v>
      </c>
      <c r="N694" s="462">
        <f t="shared" si="256"/>
        <v>0</v>
      </c>
      <c r="O694" s="461">
        <f t="shared" si="257"/>
        <v>0</v>
      </c>
      <c r="P694" s="462">
        <f t="shared" si="258"/>
        <v>0</v>
      </c>
      <c r="R694" s="465" t="s">
        <v>307</v>
      </c>
      <c r="S694" s="461">
        <v>0</v>
      </c>
      <c r="T694" s="462">
        <v>0</v>
      </c>
      <c r="U694" s="461">
        <v>0</v>
      </c>
      <c r="V694" s="462">
        <v>0</v>
      </c>
    </row>
    <row r="695" spans="1:29" x14ac:dyDescent="0.2">
      <c r="A695" s="465" t="s">
        <v>308</v>
      </c>
      <c r="B695" s="461">
        <v>0</v>
      </c>
      <c r="C695" s="462">
        <v>0</v>
      </c>
      <c r="D695" s="461">
        <v>0</v>
      </c>
      <c r="E695" s="462">
        <v>0</v>
      </c>
      <c r="F695" s="461">
        <v>0</v>
      </c>
      <c r="G695" s="462">
        <v>0</v>
      </c>
      <c r="H695" s="461">
        <v>0</v>
      </c>
      <c r="I695" s="462">
        <v>0</v>
      </c>
      <c r="J695" s="461">
        <v>0</v>
      </c>
      <c r="K695" s="462">
        <v>0</v>
      </c>
      <c r="L695" s="435"/>
      <c r="M695" s="461">
        <f t="shared" si="255"/>
        <v>0</v>
      </c>
      <c r="N695" s="462">
        <f t="shared" si="256"/>
        <v>0</v>
      </c>
      <c r="O695" s="461">
        <f t="shared" si="257"/>
        <v>0</v>
      </c>
      <c r="P695" s="462">
        <f t="shared" si="258"/>
        <v>0</v>
      </c>
      <c r="R695" s="465" t="s">
        <v>308</v>
      </c>
      <c r="S695" s="461">
        <v>0</v>
      </c>
      <c r="T695" s="462">
        <v>0</v>
      </c>
      <c r="U695" s="461">
        <v>0</v>
      </c>
      <c r="V695" s="462">
        <v>0</v>
      </c>
    </row>
    <row r="696" spans="1:29" x14ac:dyDescent="0.2">
      <c r="A696" s="465" t="s">
        <v>309</v>
      </c>
      <c r="B696" s="461">
        <v>0</v>
      </c>
      <c r="C696" s="462">
        <v>0</v>
      </c>
      <c r="D696" s="461">
        <v>0</v>
      </c>
      <c r="E696" s="462">
        <v>0</v>
      </c>
      <c r="F696" s="461">
        <v>0</v>
      </c>
      <c r="G696" s="462">
        <v>0</v>
      </c>
      <c r="H696" s="461">
        <v>0</v>
      </c>
      <c r="I696" s="462">
        <v>0</v>
      </c>
      <c r="J696" s="461">
        <v>0</v>
      </c>
      <c r="K696" s="462">
        <v>0</v>
      </c>
      <c r="L696" s="435"/>
      <c r="M696" s="461">
        <f t="shared" si="255"/>
        <v>0</v>
      </c>
      <c r="N696" s="462">
        <f t="shared" si="256"/>
        <v>0</v>
      </c>
      <c r="O696" s="461">
        <f t="shared" si="257"/>
        <v>0</v>
      </c>
      <c r="P696" s="462">
        <f t="shared" si="258"/>
        <v>0</v>
      </c>
      <c r="R696" s="465" t="s">
        <v>309</v>
      </c>
      <c r="S696" s="461">
        <v>0</v>
      </c>
      <c r="T696" s="462">
        <v>0</v>
      </c>
      <c r="U696" s="461">
        <v>0</v>
      </c>
      <c r="V696" s="462">
        <v>0</v>
      </c>
    </row>
    <row r="697" spans="1:29" x14ac:dyDescent="0.2">
      <c r="A697" s="466" t="s">
        <v>310</v>
      </c>
      <c r="B697" s="461">
        <v>0</v>
      </c>
      <c r="C697" s="462">
        <v>0</v>
      </c>
      <c r="D697" s="461">
        <v>0</v>
      </c>
      <c r="E697" s="462">
        <v>0</v>
      </c>
      <c r="F697" s="461">
        <v>0</v>
      </c>
      <c r="G697" s="462">
        <v>0</v>
      </c>
      <c r="H697" s="461">
        <v>0</v>
      </c>
      <c r="I697" s="492">
        <v>0</v>
      </c>
      <c r="J697" s="461">
        <v>0</v>
      </c>
      <c r="K697" s="492">
        <v>0</v>
      </c>
      <c r="L697" s="435"/>
      <c r="M697" s="461">
        <f t="shared" si="255"/>
        <v>0</v>
      </c>
      <c r="N697" s="492">
        <f t="shared" si="256"/>
        <v>0</v>
      </c>
      <c r="O697" s="461">
        <f t="shared" si="257"/>
        <v>0</v>
      </c>
      <c r="P697" s="492">
        <f t="shared" si="258"/>
        <v>0</v>
      </c>
      <c r="R697" s="466" t="s">
        <v>310</v>
      </c>
      <c r="S697" s="461">
        <v>0</v>
      </c>
      <c r="T697" s="492">
        <v>0</v>
      </c>
      <c r="U697" s="461">
        <v>0</v>
      </c>
      <c r="V697" s="492">
        <v>0</v>
      </c>
    </row>
    <row r="698" spans="1:29" ht="3" customHeight="1" x14ac:dyDescent="0.2">
      <c r="A698" s="469"/>
      <c r="B698" s="470"/>
      <c r="C698" s="471"/>
      <c r="D698" s="470"/>
      <c r="E698" s="471"/>
      <c r="F698" s="470"/>
      <c r="G698" s="471"/>
      <c r="H698" s="470"/>
      <c r="I698" s="471"/>
      <c r="J698" s="470"/>
      <c r="K698" s="471"/>
      <c r="L698" s="435"/>
      <c r="M698" s="470"/>
      <c r="N698" s="471"/>
      <c r="O698" s="470"/>
      <c r="P698" s="471"/>
      <c r="R698" s="469"/>
      <c r="S698" s="470"/>
      <c r="T698" s="471"/>
      <c r="U698" s="470"/>
      <c r="V698" s="471"/>
    </row>
    <row r="699" spans="1:29" ht="12" thickBot="1" x14ac:dyDescent="0.25">
      <c r="A699" s="472" t="s">
        <v>205</v>
      </c>
      <c r="B699" s="473">
        <f t="shared" ref="B699:G699" si="259">SUM(B688:B698)</f>
        <v>0</v>
      </c>
      <c r="C699" s="474">
        <f t="shared" si="259"/>
        <v>235028.88840197161</v>
      </c>
      <c r="D699" s="473">
        <f t="shared" si="259"/>
        <v>0</v>
      </c>
      <c r="E699" s="474">
        <f t="shared" si="259"/>
        <v>301286.12708859431</v>
      </c>
      <c r="F699" s="473">
        <f t="shared" si="259"/>
        <v>0</v>
      </c>
      <c r="G699" s="474">
        <f t="shared" si="259"/>
        <v>383740.06713515194</v>
      </c>
      <c r="H699" s="473">
        <v>0</v>
      </c>
      <c r="I699" s="474">
        <v>446129.74999999994</v>
      </c>
      <c r="J699" s="473">
        <v>0</v>
      </c>
      <c r="K699" s="474">
        <v>455364.08</v>
      </c>
      <c r="L699" s="435"/>
      <c r="M699" s="473">
        <f>IFERROR(H699-S699,"")</f>
        <v>0</v>
      </c>
      <c r="N699" s="474">
        <f>IFERROR(I699-T699,"")</f>
        <v>0</v>
      </c>
      <c r="O699" s="473">
        <f>IFERROR(J699-U699,"")</f>
        <v>0</v>
      </c>
      <c r="P699" s="474">
        <f>IFERROR(K699-V699,"")</f>
        <v>0</v>
      </c>
      <c r="R699" s="472" t="s">
        <v>205</v>
      </c>
      <c r="S699" s="473">
        <v>0</v>
      </c>
      <c r="T699" s="474">
        <v>446129.74999999994</v>
      </c>
      <c r="U699" s="473">
        <v>0</v>
      </c>
      <c r="V699" s="474">
        <v>455364.08</v>
      </c>
    </row>
    <row r="700" spans="1:29" s="435" customFormat="1" ht="12.75" customHeight="1" thickTop="1" x14ac:dyDescent="0.2">
      <c r="A700" s="475"/>
      <c r="B700" s="477"/>
      <c r="C700" s="476"/>
      <c r="D700" s="477"/>
      <c r="E700" s="476"/>
      <c r="F700" s="477"/>
      <c r="G700" s="476"/>
      <c r="H700" s="477"/>
      <c r="I700" s="476"/>
      <c r="J700" s="477"/>
      <c r="K700" s="476"/>
      <c r="M700" s="477"/>
      <c r="N700" s="476"/>
      <c r="O700" s="477"/>
      <c r="P700" s="476"/>
      <c r="R700" s="475"/>
      <c r="S700" s="477"/>
      <c r="T700" s="476"/>
      <c r="U700" s="477"/>
      <c r="V700" s="476"/>
    </row>
    <row r="701" spans="1:29" s="435" customFormat="1" x14ac:dyDescent="0.2">
      <c r="A701" s="476"/>
      <c r="B701" s="477"/>
      <c r="C701" s="476"/>
      <c r="D701" s="477"/>
      <c r="E701" s="476"/>
      <c r="F701" s="477"/>
      <c r="G701" s="476"/>
      <c r="H701" s="477"/>
      <c r="I701" s="476"/>
      <c r="J701" s="477"/>
      <c r="K701" s="476"/>
    </row>
    <row r="702" spans="1:29" s="434" customFormat="1" x14ac:dyDescent="0.2">
      <c r="A702" s="431"/>
      <c r="F702" s="433"/>
      <c r="H702" s="433"/>
      <c r="J702" s="503"/>
      <c r="L702" s="431"/>
      <c r="M702" s="431"/>
      <c r="N702" s="431"/>
      <c r="O702" s="431"/>
      <c r="P702" s="431"/>
      <c r="Q702" s="431"/>
      <c r="R702" s="431"/>
      <c r="S702" s="431"/>
      <c r="T702" s="431"/>
      <c r="U702" s="431"/>
      <c r="V702" s="431"/>
      <c r="W702" s="431"/>
      <c r="X702" s="431"/>
      <c r="Y702" s="431"/>
      <c r="Z702" s="431"/>
      <c r="AA702" s="431"/>
      <c r="AB702" s="431"/>
      <c r="AC702" s="431"/>
    </row>
    <row r="703" spans="1:29" s="434" customFormat="1" x14ac:dyDescent="0.2">
      <c r="A703" s="431"/>
      <c r="F703" s="433"/>
      <c r="H703" s="433"/>
      <c r="J703" s="503"/>
      <c r="L703" s="431"/>
      <c r="M703" s="431"/>
      <c r="N703" s="431"/>
      <c r="O703" s="431"/>
      <c r="P703" s="431"/>
      <c r="Q703" s="431"/>
      <c r="R703" s="431"/>
      <c r="S703" s="431"/>
      <c r="T703" s="431"/>
      <c r="U703" s="431"/>
      <c r="V703" s="431"/>
      <c r="W703" s="431"/>
      <c r="X703" s="431"/>
      <c r="Y703" s="431"/>
      <c r="Z703" s="431"/>
      <c r="AA703" s="431"/>
      <c r="AB703" s="431"/>
      <c r="AC703" s="431"/>
    </row>
    <row r="704" spans="1:29" s="434" customFormat="1" x14ac:dyDescent="0.2">
      <c r="A704" s="431"/>
      <c r="F704" s="433"/>
      <c r="H704" s="433"/>
      <c r="J704" s="503"/>
      <c r="L704" s="431"/>
      <c r="M704" s="431"/>
      <c r="N704" s="431"/>
      <c r="O704" s="431"/>
      <c r="P704" s="431"/>
      <c r="Q704" s="431"/>
      <c r="R704" s="431"/>
      <c r="S704" s="431"/>
      <c r="T704" s="431"/>
      <c r="U704" s="431"/>
      <c r="V704" s="431"/>
      <c r="W704" s="431"/>
      <c r="X704" s="431"/>
      <c r="Y704" s="431"/>
      <c r="Z704" s="431"/>
      <c r="AA704" s="431"/>
      <c r="AB704" s="431"/>
      <c r="AC704" s="431"/>
    </row>
    <row r="705" spans="1:29" s="434" customFormat="1" x14ac:dyDescent="0.2">
      <c r="A705" s="431"/>
      <c r="F705" s="433"/>
      <c r="H705" s="433"/>
      <c r="J705" s="503"/>
      <c r="L705" s="431"/>
      <c r="M705" s="431"/>
      <c r="N705" s="431"/>
      <c r="O705" s="431"/>
      <c r="P705" s="431"/>
      <c r="Q705" s="431"/>
      <c r="R705" s="431"/>
      <c r="S705" s="431"/>
      <c r="T705" s="431"/>
      <c r="U705" s="431"/>
      <c r="V705" s="431"/>
      <c r="W705" s="431"/>
      <c r="X705" s="431"/>
      <c r="Y705" s="431"/>
      <c r="Z705" s="431"/>
      <c r="AA705" s="431"/>
      <c r="AB705" s="431"/>
      <c r="AC705" s="431"/>
    </row>
    <row r="706" spans="1:29" s="434" customFormat="1" x14ac:dyDescent="0.2">
      <c r="A706" s="431"/>
      <c r="F706" s="433"/>
      <c r="H706" s="433"/>
      <c r="J706" s="503"/>
      <c r="L706" s="431"/>
      <c r="M706" s="431"/>
      <c r="N706" s="431"/>
      <c r="O706" s="431"/>
      <c r="P706" s="431"/>
      <c r="Q706" s="431"/>
      <c r="R706" s="431"/>
      <c r="S706" s="431"/>
      <c r="T706" s="431"/>
      <c r="U706" s="431"/>
      <c r="V706" s="431"/>
      <c r="W706" s="431"/>
      <c r="X706" s="431"/>
      <c r="Y706" s="431"/>
      <c r="Z706" s="431"/>
      <c r="AA706" s="431"/>
      <c r="AB706" s="431"/>
      <c r="AC706" s="431"/>
    </row>
    <row r="707" spans="1:29" s="434" customFormat="1" x14ac:dyDescent="0.2">
      <c r="A707" s="431"/>
      <c r="F707" s="433"/>
      <c r="H707" s="433"/>
      <c r="J707" s="503"/>
      <c r="L707" s="431"/>
      <c r="M707" s="431"/>
      <c r="N707" s="431"/>
      <c r="O707" s="431"/>
      <c r="P707" s="431"/>
      <c r="Q707" s="431"/>
      <c r="R707" s="431"/>
      <c r="S707" s="431"/>
      <c r="T707" s="431"/>
      <c r="U707" s="431"/>
      <c r="V707" s="431"/>
      <c r="W707" s="431"/>
      <c r="X707" s="431"/>
      <c r="Y707" s="431"/>
      <c r="Z707" s="431"/>
      <c r="AA707" s="431"/>
      <c r="AB707" s="431"/>
      <c r="AC707" s="431"/>
    </row>
    <row r="708" spans="1:29" s="434" customFormat="1" x14ac:dyDescent="0.2">
      <c r="A708" s="431"/>
      <c r="F708" s="433"/>
      <c r="H708" s="433"/>
      <c r="J708" s="503"/>
      <c r="L708" s="431"/>
      <c r="M708" s="431"/>
      <c r="N708" s="431"/>
      <c r="O708" s="431"/>
      <c r="P708" s="431"/>
      <c r="Q708" s="431"/>
      <c r="R708" s="431"/>
      <c r="S708" s="431"/>
      <c r="T708" s="431"/>
      <c r="U708" s="431"/>
      <c r="V708" s="431"/>
      <c r="W708" s="431"/>
      <c r="X708" s="431"/>
      <c r="Y708" s="431"/>
      <c r="Z708" s="431"/>
      <c r="AA708" s="431"/>
      <c r="AB708" s="431"/>
      <c r="AC708" s="431"/>
    </row>
    <row r="709" spans="1:29" s="434" customFormat="1" x14ac:dyDescent="0.2">
      <c r="A709" s="431"/>
      <c r="F709" s="433"/>
      <c r="H709" s="433"/>
      <c r="J709" s="503"/>
      <c r="L709" s="431"/>
      <c r="M709" s="431"/>
      <c r="N709" s="431"/>
      <c r="O709" s="431"/>
      <c r="P709" s="431"/>
      <c r="Q709" s="431"/>
      <c r="R709" s="431"/>
      <c r="S709" s="431"/>
      <c r="T709" s="431"/>
      <c r="U709" s="431"/>
      <c r="V709" s="431"/>
      <c r="W709" s="431"/>
      <c r="X709" s="431"/>
      <c r="Y709" s="431"/>
      <c r="Z709" s="431"/>
      <c r="AA709" s="431"/>
      <c r="AB709" s="431"/>
      <c r="AC709" s="431"/>
    </row>
    <row r="710" spans="1:29" s="434" customFormat="1" x14ac:dyDescent="0.2">
      <c r="A710" s="431"/>
      <c r="F710" s="433"/>
      <c r="H710" s="433"/>
      <c r="J710" s="503"/>
      <c r="L710" s="431"/>
      <c r="M710" s="431"/>
      <c r="N710" s="431"/>
      <c r="O710" s="431"/>
      <c r="P710" s="431"/>
      <c r="Q710" s="431"/>
      <c r="R710" s="431"/>
      <c r="S710" s="431"/>
      <c r="T710" s="431"/>
      <c r="U710" s="431"/>
      <c r="V710" s="431"/>
      <c r="W710" s="431"/>
      <c r="X710" s="431"/>
      <c r="Y710" s="431"/>
      <c r="Z710" s="431"/>
      <c r="AA710" s="431"/>
      <c r="AB710" s="431"/>
      <c r="AC710" s="431"/>
    </row>
    <row r="711" spans="1:29" s="434" customFormat="1" x14ac:dyDescent="0.2">
      <c r="A711" s="431"/>
      <c r="F711" s="433"/>
      <c r="H711" s="433"/>
      <c r="J711" s="503"/>
      <c r="L711" s="431"/>
      <c r="M711" s="431"/>
      <c r="N711" s="431"/>
      <c r="O711" s="431"/>
      <c r="P711" s="431"/>
      <c r="Q711" s="431"/>
      <c r="R711" s="431"/>
      <c r="S711" s="431"/>
      <c r="T711" s="431"/>
      <c r="U711" s="431"/>
      <c r="V711" s="431"/>
      <c r="W711" s="431"/>
      <c r="X711" s="431"/>
      <c r="Y711" s="431"/>
      <c r="Z711" s="431"/>
      <c r="AA711" s="431"/>
      <c r="AB711" s="431"/>
      <c r="AC711" s="431"/>
    </row>
    <row r="712" spans="1:29" s="434" customFormat="1" x14ac:dyDescent="0.2">
      <c r="A712" s="431"/>
      <c r="F712" s="433"/>
      <c r="H712" s="433"/>
      <c r="J712" s="503"/>
      <c r="L712" s="431"/>
      <c r="M712" s="431"/>
      <c r="N712" s="431"/>
      <c r="O712" s="431"/>
      <c r="P712" s="431"/>
      <c r="Q712" s="431"/>
      <c r="R712" s="431"/>
      <c r="S712" s="431"/>
      <c r="T712" s="431"/>
      <c r="U712" s="431"/>
      <c r="V712" s="431"/>
      <c r="W712" s="431"/>
      <c r="X712" s="431"/>
      <c r="Y712" s="431"/>
      <c r="Z712" s="431"/>
      <c r="AA712" s="431"/>
      <c r="AB712" s="431"/>
      <c r="AC712" s="431"/>
    </row>
    <row r="713" spans="1:29" s="434" customFormat="1" x14ac:dyDescent="0.2">
      <c r="A713" s="431"/>
      <c r="F713" s="433"/>
      <c r="H713" s="433"/>
      <c r="J713" s="503"/>
      <c r="L713" s="431"/>
      <c r="M713" s="431"/>
      <c r="N713" s="431"/>
      <c r="O713" s="431"/>
      <c r="P713" s="431"/>
      <c r="Q713" s="431"/>
      <c r="R713" s="431"/>
      <c r="S713" s="431"/>
      <c r="T713" s="431"/>
      <c r="U713" s="431"/>
      <c r="V713" s="431"/>
      <c r="W713" s="431"/>
      <c r="X713" s="431"/>
      <c r="Y713" s="431"/>
      <c r="Z713" s="431"/>
      <c r="AA713" s="431"/>
      <c r="AB713" s="431"/>
      <c r="AC713" s="431"/>
    </row>
  </sheetData>
  <mergeCells count="34">
    <mergeCell ref="A625:A626"/>
    <mergeCell ref="R625:R626"/>
    <mergeCell ref="A394:A395"/>
    <mergeCell ref="R394:R395"/>
    <mergeCell ref="A471:A472"/>
    <mergeCell ref="R471:R472"/>
    <mergeCell ref="A548:A549"/>
    <mergeCell ref="R548:R549"/>
    <mergeCell ref="A161:A162"/>
    <mergeCell ref="R161:R162"/>
    <mergeCell ref="A238:A239"/>
    <mergeCell ref="R238:R239"/>
    <mergeCell ref="A316:A317"/>
    <mergeCell ref="R316:R317"/>
    <mergeCell ref="A84:A85"/>
    <mergeCell ref="R84:R85"/>
    <mergeCell ref="H6:I6"/>
    <mergeCell ref="J6:K6"/>
    <mergeCell ref="B6:C6"/>
    <mergeCell ref="D6:E6"/>
    <mergeCell ref="F6:G6"/>
    <mergeCell ref="S5:T5"/>
    <mergeCell ref="U5:V5"/>
    <mergeCell ref="M3:P4"/>
    <mergeCell ref="R3:V4"/>
    <mergeCell ref="M6:N6"/>
    <mergeCell ref="O6:P6"/>
    <mergeCell ref="S6:T6"/>
    <mergeCell ref="U6:V6"/>
    <mergeCell ref="B5:G5"/>
    <mergeCell ref="H5:I5"/>
    <mergeCell ref="J5:K5"/>
    <mergeCell ref="M5:N5"/>
    <mergeCell ref="O5:P5"/>
  </mergeCells>
  <pageMargins left="1" right="0.75" top="0.75" bottom="0.5" header="0.5" footer="0.5"/>
  <pageSetup scale="85" orientation="landscape" r:id="rId1"/>
  <headerFooter>
    <oddFooter>&amp;L&amp;KFF0000Final Rate Application&amp;CPage &amp;P of &amp;N&amp;R02/10/2017</oddFooter>
  </headerFooter>
  <rowBreaks count="17" manualBreakCount="17">
    <brk id="36" max="9" man="1"/>
    <brk id="81" max="17" man="1"/>
    <brk id="114" max="17" man="1"/>
    <brk id="159" max="9" man="1"/>
    <brk id="191" max="9" man="1"/>
    <brk id="236" max="17" man="1"/>
    <brk id="268" max="17" man="1"/>
    <brk id="314" max="9" man="1"/>
    <brk id="346" max="9" man="1"/>
    <brk id="392" max="17" man="1"/>
    <brk id="424" max="17" man="1"/>
    <brk id="469" max="9" man="1"/>
    <brk id="501" max="9" man="1"/>
    <brk id="546" max="17" man="1"/>
    <brk id="578" max="17" man="1"/>
    <brk id="623" max="9" man="1"/>
    <brk id="655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S31"/>
  <sheetViews>
    <sheetView showOutlineSymbols="0" topLeftCell="A2" zoomScaleNormal="100" workbookViewId="0">
      <selection activeCell="A2" sqref="A2"/>
    </sheetView>
  </sheetViews>
  <sheetFormatPr defaultRowHeight="12.75" x14ac:dyDescent="0.2"/>
  <cols>
    <col min="1" max="1" width="24.140625" style="121" customWidth="1"/>
    <col min="2" max="4" width="16" style="121" customWidth="1"/>
    <col min="5" max="5" width="17.28515625" style="121" customWidth="1"/>
    <col min="6" max="6" width="18.5703125" style="121" customWidth="1"/>
    <col min="7" max="7" width="2.140625" style="121" customWidth="1"/>
    <col min="8" max="10" width="12.28515625" style="121" bestFit="1" customWidth="1"/>
    <col min="11" max="11" width="16.140625" style="121" bestFit="1" customWidth="1"/>
    <col min="12" max="12" width="2.28515625" style="121" customWidth="1"/>
    <col min="13" max="13" width="29.42578125" style="121" bestFit="1" customWidth="1"/>
    <col min="14" max="14" width="11.28515625" style="121" bestFit="1" customWidth="1"/>
    <col min="15" max="16" width="12.28515625" style="121" bestFit="1" customWidth="1"/>
    <col min="17" max="17" width="16.140625" style="121" bestFit="1" customWidth="1"/>
    <col min="18" max="18" width="12.28515625" style="121" bestFit="1" customWidth="1"/>
    <col min="19" max="16384" width="9.140625" style="121"/>
  </cols>
  <sheetData>
    <row r="1" spans="1:19" hidden="1" x14ac:dyDescent="0.2">
      <c r="E1" s="121">
        <v>1</v>
      </c>
      <c r="F1" s="121">
        <f>+E1+1</f>
        <v>2</v>
      </c>
    </row>
    <row r="2" spans="1:19" ht="12.75" customHeight="1" x14ac:dyDescent="0.2">
      <c r="A2" s="112" t="str">
        <f>B!A2</f>
        <v>Recology San Francisco</v>
      </c>
      <c r="B2" s="505"/>
      <c r="C2" s="505"/>
    </row>
    <row r="3" spans="1:19" ht="12.75" customHeight="1" x14ac:dyDescent="0.2">
      <c r="A3" s="436" t="s">
        <v>322</v>
      </c>
      <c r="B3" s="506"/>
      <c r="C3" s="506"/>
      <c r="D3" s="177"/>
      <c r="E3" s="177"/>
      <c r="F3" s="177"/>
    </row>
    <row r="4" spans="1:19" ht="12.75" customHeight="1" x14ac:dyDescent="0.2">
      <c r="A4" s="265" t="s">
        <v>24</v>
      </c>
      <c r="B4" s="117"/>
      <c r="C4" s="117"/>
      <c r="D4" s="177"/>
      <c r="E4" s="177"/>
      <c r="F4" s="177"/>
      <c r="H4" s="1522" t="s">
        <v>74</v>
      </c>
      <c r="I4" s="1523"/>
      <c r="J4" s="1523"/>
      <c r="K4" s="1524"/>
      <c r="L4" s="507"/>
      <c r="M4" s="1497" t="s">
        <v>75</v>
      </c>
      <c r="N4" s="1498"/>
      <c r="O4" s="1498"/>
      <c r="P4" s="1498"/>
      <c r="Q4" s="1499"/>
      <c r="R4" s="37"/>
      <c r="S4" s="37"/>
    </row>
    <row r="5" spans="1:19" ht="23.25" customHeight="1" x14ac:dyDescent="0.2">
      <c r="A5" s="177"/>
      <c r="B5" s="185"/>
      <c r="C5" s="508"/>
      <c r="D5" s="508"/>
      <c r="E5" s="509"/>
      <c r="F5" s="185"/>
      <c r="H5" s="1531"/>
      <c r="I5" s="1527"/>
      <c r="J5" s="1527"/>
      <c r="K5" s="1528"/>
      <c r="L5" s="507"/>
      <c r="M5" s="1529"/>
      <c r="N5" s="1502"/>
      <c r="O5" s="1502"/>
      <c r="P5" s="1502"/>
      <c r="Q5" s="1503"/>
      <c r="R5" s="37"/>
      <c r="S5" s="37"/>
    </row>
    <row r="6" spans="1:19" ht="18.75" customHeight="1" x14ac:dyDescent="0.2">
      <c r="A6" s="185"/>
      <c r="B6" s="1552" t="s">
        <v>207</v>
      </c>
      <c r="C6" s="1553"/>
      <c r="D6" s="510" t="s">
        <v>208</v>
      </c>
      <c r="E6" s="511" t="s">
        <v>209</v>
      </c>
      <c r="F6" s="185"/>
      <c r="H6" s="1552" t="s">
        <v>207</v>
      </c>
      <c r="I6" s="1554"/>
      <c r="J6" s="510" t="s">
        <v>208</v>
      </c>
      <c r="K6" s="511" t="s">
        <v>209</v>
      </c>
      <c r="L6" s="512"/>
      <c r="M6" s="513"/>
      <c r="N6" s="1552" t="s">
        <v>207</v>
      </c>
      <c r="O6" s="1554"/>
      <c r="P6" s="510" t="s">
        <v>208</v>
      </c>
      <c r="Q6" s="511" t="s">
        <v>209</v>
      </c>
    </row>
    <row r="7" spans="1:19" ht="19.5" customHeight="1" x14ac:dyDescent="0.2">
      <c r="A7" s="514"/>
      <c r="B7" s="515" t="s">
        <v>103</v>
      </c>
      <c r="C7" s="516" t="s">
        <v>104</v>
      </c>
      <c r="D7" s="517" t="s">
        <v>99</v>
      </c>
      <c r="E7" s="518" t="s">
        <v>69</v>
      </c>
      <c r="F7" s="519"/>
      <c r="G7" s="520"/>
      <c r="H7" s="515" t="s">
        <v>103</v>
      </c>
      <c r="I7" s="516" t="s">
        <v>104</v>
      </c>
      <c r="J7" s="517" t="s">
        <v>99</v>
      </c>
      <c r="K7" s="521" t="s">
        <v>69</v>
      </c>
      <c r="L7" s="522"/>
      <c r="M7" s="523"/>
      <c r="N7" s="515" t="s">
        <v>103</v>
      </c>
      <c r="O7" s="516" t="s">
        <v>104</v>
      </c>
      <c r="P7" s="517" t="s">
        <v>99</v>
      </c>
      <c r="Q7" s="518" t="s">
        <v>69</v>
      </c>
    </row>
    <row r="8" spans="1:19" ht="19.5" customHeight="1" x14ac:dyDescent="0.2">
      <c r="A8" s="524" t="s">
        <v>323</v>
      </c>
      <c r="B8" s="525"/>
      <c r="C8" s="526"/>
      <c r="D8" s="527"/>
      <c r="E8" s="528"/>
      <c r="F8" s="519"/>
      <c r="G8" s="520"/>
      <c r="H8" s="529"/>
      <c r="I8" s="530"/>
      <c r="J8" s="527"/>
      <c r="K8" s="531"/>
      <c r="M8" s="524" t="s">
        <v>323</v>
      </c>
      <c r="N8" s="525"/>
      <c r="O8" s="528"/>
      <c r="P8" s="532"/>
      <c r="Q8" s="528"/>
    </row>
    <row r="9" spans="1:19" ht="19.5" customHeight="1" x14ac:dyDescent="0.2">
      <c r="A9" s="533" t="s">
        <v>324</v>
      </c>
      <c r="B9" s="534">
        <v>10.75</v>
      </c>
      <c r="C9" s="535">
        <v>11.39</v>
      </c>
      <c r="D9" s="536">
        <v>11.71</v>
      </c>
      <c r="E9" s="536">
        <v>11.805340295045649</v>
      </c>
      <c r="F9" s="519"/>
      <c r="G9" s="520"/>
      <c r="H9" s="534">
        <f t="shared" ref="H9:K13" si="0">IFERROR(B9-N9,"")</f>
        <v>0</v>
      </c>
      <c r="I9" s="535">
        <f t="shared" si="0"/>
        <v>0</v>
      </c>
      <c r="J9" s="536">
        <f t="shared" si="0"/>
        <v>-0.46666666666666679</v>
      </c>
      <c r="K9" s="536">
        <f t="shared" si="0"/>
        <v>-1.4407708160654629</v>
      </c>
      <c r="M9" s="537" t="s">
        <v>324</v>
      </c>
      <c r="N9" s="538">
        <v>10.75</v>
      </c>
      <c r="O9" s="539">
        <v>11.39</v>
      </c>
      <c r="P9" s="540">
        <v>12.176666666666668</v>
      </c>
      <c r="Q9" s="536">
        <v>13.246111111111112</v>
      </c>
    </row>
    <row r="10" spans="1:19" ht="19.5" customHeight="1" x14ac:dyDescent="0.2">
      <c r="A10" s="533" t="s">
        <v>325</v>
      </c>
      <c r="B10" s="541">
        <v>84129.13</v>
      </c>
      <c r="C10" s="542">
        <v>90096</v>
      </c>
      <c r="D10" s="543">
        <v>98543.959999999992</v>
      </c>
      <c r="E10" s="544">
        <v>104109.40000000002</v>
      </c>
      <c r="F10" s="545"/>
      <c r="G10" s="520"/>
      <c r="H10" s="541">
        <f t="shared" si="0"/>
        <v>0</v>
      </c>
      <c r="I10" s="542">
        <f t="shared" si="0"/>
        <v>0</v>
      </c>
      <c r="J10" s="543">
        <f t="shared" si="0"/>
        <v>0</v>
      </c>
      <c r="K10" s="544">
        <f t="shared" si="0"/>
        <v>0</v>
      </c>
      <c r="M10" s="537" t="s">
        <v>325</v>
      </c>
      <c r="N10" s="541">
        <v>84129.13</v>
      </c>
      <c r="O10" s="544">
        <v>90096</v>
      </c>
      <c r="P10" s="546">
        <v>98543.959999999992</v>
      </c>
      <c r="Q10" s="544">
        <v>104109.40000000002</v>
      </c>
    </row>
    <row r="11" spans="1:19" ht="19.5" customHeight="1" x14ac:dyDescent="0.2">
      <c r="A11" s="533" t="s">
        <v>323</v>
      </c>
      <c r="B11" s="547">
        <f>+B9*B10</f>
        <v>904388.14750000008</v>
      </c>
      <c r="C11" s="548">
        <f>+C9*C10</f>
        <v>1026193.4400000001</v>
      </c>
      <c r="D11" s="549">
        <f>+D10*D9</f>
        <v>1153949.7716000001</v>
      </c>
      <c r="E11" s="548">
        <f>+E10*E9</f>
        <v>1229046.8949130259</v>
      </c>
      <c r="F11" s="519"/>
      <c r="G11" s="520"/>
      <c r="H11" s="547">
        <f t="shared" si="0"/>
        <v>0</v>
      </c>
      <c r="I11" s="548">
        <f t="shared" si="0"/>
        <v>0</v>
      </c>
      <c r="J11" s="549">
        <f t="shared" si="0"/>
        <v>-45987.181333333254</v>
      </c>
      <c r="K11" s="548">
        <f t="shared" si="0"/>
        <v>-149997.78519808571</v>
      </c>
      <c r="M11" s="537" t="s">
        <v>323</v>
      </c>
      <c r="N11" s="547">
        <v>904388.14750000008</v>
      </c>
      <c r="O11" s="548">
        <v>1026193.4400000001</v>
      </c>
      <c r="P11" s="549">
        <v>1199936.9529333333</v>
      </c>
      <c r="Q11" s="548">
        <v>1379044.6801111116</v>
      </c>
    </row>
    <row r="12" spans="1:19" ht="27.75" customHeight="1" x14ac:dyDescent="0.2">
      <c r="A12" s="550" t="s">
        <v>326</v>
      </c>
      <c r="B12" s="533">
        <f>7360406-B11</f>
        <v>6456017.8525</v>
      </c>
      <c r="C12" s="551">
        <f>5011357-C11</f>
        <v>3985163.56</v>
      </c>
      <c r="D12" s="341">
        <f>+D26</f>
        <v>4988500</v>
      </c>
      <c r="E12" s="552">
        <f>+E26</f>
        <v>5539000</v>
      </c>
      <c r="F12" s="343"/>
      <c r="G12" s="256"/>
      <c r="H12" s="533">
        <f t="shared" si="0"/>
        <v>0</v>
      </c>
      <c r="I12" s="551">
        <f t="shared" si="0"/>
        <v>0</v>
      </c>
      <c r="J12" s="341">
        <f t="shared" si="0"/>
        <v>-20250</v>
      </c>
      <c r="K12" s="552">
        <f t="shared" si="0"/>
        <v>-1146750</v>
      </c>
      <c r="M12" s="550" t="s">
        <v>326</v>
      </c>
      <c r="N12" s="533">
        <v>6456017.8525</v>
      </c>
      <c r="O12" s="551">
        <v>3985163.56</v>
      </c>
      <c r="P12" s="341">
        <v>5008750</v>
      </c>
      <c r="Q12" s="552">
        <v>6685750</v>
      </c>
    </row>
    <row r="13" spans="1:19" ht="27.75" customHeight="1" x14ac:dyDescent="0.2">
      <c r="A13" s="553" t="s">
        <v>327</v>
      </c>
      <c r="B13" s="554">
        <f>SUM(B11:B12)</f>
        <v>7360406</v>
      </c>
      <c r="C13" s="555">
        <f>SUM(C11:C12)</f>
        <v>5011357</v>
      </c>
      <c r="D13" s="556">
        <f>SUM(D11:D12)</f>
        <v>6142449.7716000006</v>
      </c>
      <c r="E13" s="557">
        <f>SUM(E11:E12)</f>
        <v>6768046.8949130261</v>
      </c>
      <c r="F13" s="343"/>
      <c r="G13" s="256"/>
      <c r="H13" s="554">
        <f t="shared" si="0"/>
        <v>0</v>
      </c>
      <c r="I13" s="555">
        <f t="shared" si="0"/>
        <v>0</v>
      </c>
      <c r="J13" s="556">
        <f t="shared" si="0"/>
        <v>-66237.181333333254</v>
      </c>
      <c r="K13" s="557">
        <f t="shared" si="0"/>
        <v>-1296747.7851980859</v>
      </c>
      <c r="M13" s="553" t="s">
        <v>327</v>
      </c>
      <c r="N13" s="554">
        <v>7360406</v>
      </c>
      <c r="O13" s="555">
        <v>5011357</v>
      </c>
      <c r="P13" s="556">
        <v>6208686.9529333338</v>
      </c>
      <c r="Q13" s="557">
        <v>8064794.6801111121</v>
      </c>
    </row>
    <row r="14" spans="1:19" ht="5.0999999999999996" customHeight="1" x14ac:dyDescent="0.2">
      <c r="A14" s="558"/>
      <c r="B14" s="559"/>
      <c r="C14" s="560"/>
      <c r="D14" s="561"/>
      <c r="E14" s="562"/>
      <c r="F14" s="563"/>
      <c r="G14" s="256"/>
      <c r="H14" s="559"/>
      <c r="I14" s="560"/>
      <c r="J14" s="561"/>
      <c r="K14" s="562"/>
      <c r="M14" s="558"/>
      <c r="N14" s="559"/>
      <c r="O14" s="560"/>
      <c r="P14" s="561"/>
      <c r="Q14" s="562"/>
    </row>
    <row r="15" spans="1:19" ht="15" customHeight="1" x14ac:dyDescent="0.2">
      <c r="F15" s="256"/>
    </row>
    <row r="16" spans="1:19" ht="21" customHeight="1" x14ac:dyDescent="0.2">
      <c r="A16" s="564"/>
      <c r="B16" s="564"/>
      <c r="C16" s="564"/>
      <c r="D16" s="565"/>
      <c r="E16" s="565"/>
      <c r="F16" s="565"/>
      <c r="G16" s="256"/>
    </row>
    <row r="17" spans="1:18" ht="33.75" customHeight="1" x14ac:dyDescent="0.2">
      <c r="A17" s="566" t="s">
        <v>326</v>
      </c>
      <c r="B17" s="567"/>
      <c r="C17" s="568" t="s">
        <v>328</v>
      </c>
      <c r="D17" s="568" t="s">
        <v>329</v>
      </c>
      <c r="E17" s="568" t="s">
        <v>330</v>
      </c>
      <c r="F17" s="569" t="s">
        <v>331</v>
      </c>
      <c r="H17" s="570" t="s">
        <v>328</v>
      </c>
      <c r="I17" s="568" t="s">
        <v>329</v>
      </c>
      <c r="J17" s="568" t="s">
        <v>330</v>
      </c>
      <c r="K17" s="569" t="s">
        <v>331</v>
      </c>
      <c r="M17" s="566" t="s">
        <v>326</v>
      </c>
      <c r="N17" s="567"/>
      <c r="O17" s="568" t="s">
        <v>328</v>
      </c>
      <c r="P17" s="568" t="s">
        <v>329</v>
      </c>
      <c r="Q17" s="568" t="s">
        <v>330</v>
      </c>
      <c r="R17" s="569" t="s">
        <v>331</v>
      </c>
    </row>
    <row r="18" spans="1:18" ht="20.25" customHeight="1" x14ac:dyDescent="0.2">
      <c r="A18" s="533" t="s">
        <v>332</v>
      </c>
      <c r="B18" s="571"/>
      <c r="C18" s="328">
        <v>6586000</v>
      </c>
      <c r="D18" s="328">
        <v>14754000</v>
      </c>
      <c r="E18" s="328">
        <v>14889000</v>
      </c>
      <c r="F18" s="572">
        <v>14872000</v>
      </c>
      <c r="H18" s="98">
        <f>IFERROR(C18-O18,"")</f>
        <v>0</v>
      </c>
      <c r="I18" s="328">
        <f t="shared" ref="I18:K22" si="1">IFERROR(D18-P18,"")</f>
        <v>34000</v>
      </c>
      <c r="J18" s="328">
        <f>IFERROR(E18-Q18,"")</f>
        <v>1889000</v>
      </c>
      <c r="K18" s="572">
        <f>IFERROR(F18-R18,"")</f>
        <v>1875000</v>
      </c>
      <c r="L18" s="252"/>
      <c r="M18" s="533" t="s">
        <v>332</v>
      </c>
      <c r="N18" s="571"/>
      <c r="O18" s="328">
        <v>6586000</v>
      </c>
      <c r="P18" s="328">
        <v>14720000</v>
      </c>
      <c r="Q18" s="328">
        <v>13000000</v>
      </c>
      <c r="R18" s="572">
        <v>12997000</v>
      </c>
    </row>
    <row r="19" spans="1:18" ht="20.25" customHeight="1" x14ac:dyDescent="0.2">
      <c r="A19" s="533" t="s">
        <v>0</v>
      </c>
      <c r="B19" s="573"/>
      <c r="C19" s="542">
        <v>3094000</v>
      </c>
      <c r="D19" s="542">
        <v>5620000</v>
      </c>
      <c r="E19" s="542">
        <v>5512000</v>
      </c>
      <c r="F19" s="544">
        <v>5526000</v>
      </c>
      <c r="H19" s="541">
        <f t="shared" ref="H19:H22" si="2">IFERROR(C19-O19,"")</f>
        <v>0</v>
      </c>
      <c r="I19" s="542">
        <f t="shared" si="1"/>
        <v>-27000</v>
      </c>
      <c r="J19" s="542">
        <f t="shared" si="1"/>
        <v>-1520000</v>
      </c>
      <c r="K19" s="544">
        <f t="shared" si="1"/>
        <v>-1509000</v>
      </c>
      <c r="L19" s="252"/>
      <c r="M19" s="533" t="s">
        <v>0</v>
      </c>
      <c r="N19" s="573"/>
      <c r="O19" s="542">
        <v>3094000</v>
      </c>
      <c r="P19" s="542">
        <v>5647000</v>
      </c>
      <c r="Q19" s="542">
        <v>7032000</v>
      </c>
      <c r="R19" s="544">
        <v>7035000</v>
      </c>
    </row>
    <row r="20" spans="1:18" ht="20.25" customHeight="1" x14ac:dyDescent="0.2">
      <c r="A20" s="533" t="s">
        <v>333</v>
      </c>
      <c r="B20" s="256"/>
      <c r="C20" s="574">
        <v>2320000</v>
      </c>
      <c r="D20" s="574">
        <v>4626000</v>
      </c>
      <c r="E20" s="574">
        <v>4599000</v>
      </c>
      <c r="F20" s="575">
        <v>4602000</v>
      </c>
      <c r="H20" s="361">
        <f t="shared" si="2"/>
        <v>0</v>
      </c>
      <c r="I20" s="574">
        <f>IFERROR(D20-P20,"")</f>
        <v>-7000</v>
      </c>
      <c r="J20" s="574">
        <f t="shared" si="1"/>
        <v>-369000</v>
      </c>
      <c r="K20" s="575">
        <f t="shared" si="1"/>
        <v>-366000</v>
      </c>
      <c r="L20" s="576"/>
      <c r="M20" s="577" t="s">
        <v>334</v>
      </c>
      <c r="N20" s="256"/>
      <c r="O20" s="574">
        <v>2320000</v>
      </c>
      <c r="P20" s="574">
        <v>4633000</v>
      </c>
      <c r="Q20" s="574">
        <v>4968000</v>
      </c>
      <c r="R20" s="575">
        <v>4968000</v>
      </c>
    </row>
    <row r="21" spans="1:18" ht="5.0999999999999996" customHeight="1" x14ac:dyDescent="0.2">
      <c r="A21" s="578"/>
      <c r="B21" s="255"/>
      <c r="C21" s="579"/>
      <c r="D21" s="579"/>
      <c r="E21" s="579"/>
      <c r="F21" s="580"/>
      <c r="H21" s="581">
        <f t="shared" si="2"/>
        <v>0</v>
      </c>
      <c r="I21" s="579">
        <f t="shared" si="1"/>
        <v>0</v>
      </c>
      <c r="J21" s="579">
        <f t="shared" si="1"/>
        <v>0</v>
      </c>
      <c r="K21" s="580">
        <f t="shared" si="1"/>
        <v>0</v>
      </c>
      <c r="M21" s="578"/>
      <c r="N21" s="255"/>
      <c r="O21" s="579"/>
      <c r="P21" s="579"/>
      <c r="Q21" s="579"/>
      <c r="R21" s="580"/>
    </row>
    <row r="22" spans="1:18" ht="20.25" customHeight="1" thickBot="1" x14ac:dyDescent="0.25">
      <c r="A22" s="582" t="s">
        <v>335</v>
      </c>
      <c r="B22" s="256"/>
      <c r="C22" s="583">
        <f>SUM(C18:C21)</f>
        <v>12000000</v>
      </c>
      <c r="D22" s="583">
        <f>SUM(D18:D21)</f>
        <v>25000000</v>
      </c>
      <c r="E22" s="583">
        <f>SUM(E18:E21)</f>
        <v>25000000</v>
      </c>
      <c r="F22" s="584">
        <f>SUM(F18:F21)</f>
        <v>25000000</v>
      </c>
      <c r="H22" s="585">
        <f t="shared" si="2"/>
        <v>0</v>
      </c>
      <c r="I22" s="583">
        <f t="shared" si="1"/>
        <v>0</v>
      </c>
      <c r="J22" s="583">
        <f t="shared" si="1"/>
        <v>0</v>
      </c>
      <c r="K22" s="584">
        <f t="shared" si="1"/>
        <v>0</v>
      </c>
      <c r="L22" s="258"/>
      <c r="M22" s="582" t="s">
        <v>335</v>
      </c>
      <c r="N22" s="256"/>
      <c r="O22" s="583">
        <v>12000000</v>
      </c>
      <c r="P22" s="583">
        <v>25000000</v>
      </c>
      <c r="Q22" s="583">
        <v>25000000</v>
      </c>
      <c r="R22" s="584">
        <v>25000000</v>
      </c>
    </row>
    <row r="23" spans="1:18" s="229" customFormat="1" ht="5.0999999999999996" customHeight="1" thickTop="1" x14ac:dyDescent="0.2">
      <c r="A23" s="577"/>
      <c r="B23" s="256"/>
      <c r="C23" s="586"/>
      <c r="D23" s="587"/>
      <c r="E23" s="587"/>
      <c r="F23" s="588"/>
      <c r="H23" s="589"/>
      <c r="I23" s="587"/>
      <c r="J23" s="587"/>
      <c r="K23" s="588"/>
      <c r="M23" s="577"/>
      <c r="N23" s="256"/>
      <c r="O23" s="586"/>
      <c r="P23" s="587"/>
      <c r="Q23" s="587"/>
      <c r="R23" s="588"/>
    </row>
    <row r="24" spans="1:18" ht="18" customHeight="1" x14ac:dyDescent="0.2">
      <c r="A24" s="533" t="s">
        <v>336</v>
      </c>
      <c r="B24" s="256"/>
      <c r="C24" s="590"/>
      <c r="D24" s="591" t="s">
        <v>99</v>
      </c>
      <c r="E24" s="591" t="s">
        <v>69</v>
      </c>
      <c r="F24" s="592" t="s">
        <v>337</v>
      </c>
      <c r="H24" s="593"/>
      <c r="I24" s="591" t="s">
        <v>99</v>
      </c>
      <c r="J24" s="591" t="s">
        <v>69</v>
      </c>
      <c r="K24" s="592" t="s">
        <v>337</v>
      </c>
      <c r="M24" s="577" t="s">
        <v>336</v>
      </c>
      <c r="N24" s="256"/>
      <c r="O24" s="590"/>
      <c r="P24" s="591" t="s">
        <v>99</v>
      </c>
      <c r="Q24" s="591" t="s">
        <v>69</v>
      </c>
      <c r="R24" s="592" t="s">
        <v>337</v>
      </c>
    </row>
    <row r="25" spans="1:18" ht="18" customHeight="1" x14ac:dyDescent="0.2">
      <c r="A25" s="533" t="s">
        <v>332</v>
      </c>
      <c r="B25" s="571"/>
      <c r="C25" s="343"/>
      <c r="D25" s="594">
        <f t="shared" ref="D25:F27" si="3">+C18*0.25+D18*0.75</f>
        <v>12712000</v>
      </c>
      <c r="E25" s="594">
        <f t="shared" si="3"/>
        <v>14855250</v>
      </c>
      <c r="F25" s="595">
        <f t="shared" si="3"/>
        <v>14876250</v>
      </c>
      <c r="H25" s="596"/>
      <c r="I25" s="594">
        <f t="shared" ref="I25:K29" si="4">IFERROR(D25-P25,"")</f>
        <v>25500</v>
      </c>
      <c r="J25" s="594">
        <f t="shared" si="4"/>
        <v>1425250</v>
      </c>
      <c r="K25" s="595">
        <f t="shared" si="4"/>
        <v>1878500</v>
      </c>
      <c r="M25" s="533" t="s">
        <v>332</v>
      </c>
      <c r="N25" s="571"/>
      <c r="O25" s="343"/>
      <c r="P25" s="594">
        <v>12686500</v>
      </c>
      <c r="Q25" s="594">
        <v>13430000</v>
      </c>
      <c r="R25" s="595">
        <v>12997750</v>
      </c>
    </row>
    <row r="26" spans="1:18" ht="18" customHeight="1" x14ac:dyDescent="0.2">
      <c r="A26" s="533" t="s">
        <v>0</v>
      </c>
      <c r="B26" s="573"/>
      <c r="C26" s="343"/>
      <c r="D26" s="343">
        <f t="shared" si="3"/>
        <v>4988500</v>
      </c>
      <c r="E26" s="343">
        <f t="shared" si="3"/>
        <v>5539000</v>
      </c>
      <c r="F26" s="552">
        <f t="shared" si="3"/>
        <v>5522500</v>
      </c>
      <c r="H26" s="596"/>
      <c r="I26" s="343">
        <f t="shared" si="4"/>
        <v>-20250</v>
      </c>
      <c r="J26" s="343">
        <f t="shared" si="4"/>
        <v>-1146750</v>
      </c>
      <c r="K26" s="552">
        <f t="shared" si="4"/>
        <v>-1511750</v>
      </c>
      <c r="M26" s="533" t="s">
        <v>0</v>
      </c>
      <c r="N26" s="573"/>
      <c r="O26" s="343"/>
      <c r="P26" s="343">
        <v>5008750</v>
      </c>
      <c r="Q26" s="343">
        <v>6685750</v>
      </c>
      <c r="R26" s="552">
        <v>7034250</v>
      </c>
    </row>
    <row r="27" spans="1:18" ht="18" customHeight="1" x14ac:dyDescent="0.2">
      <c r="A27" s="533" t="s">
        <v>333</v>
      </c>
      <c r="B27" s="256"/>
      <c r="C27" s="343"/>
      <c r="D27" s="343">
        <f t="shared" si="3"/>
        <v>4049500</v>
      </c>
      <c r="E27" s="343">
        <f t="shared" si="3"/>
        <v>4605750</v>
      </c>
      <c r="F27" s="552">
        <f t="shared" si="3"/>
        <v>4601250</v>
      </c>
      <c r="H27" s="596"/>
      <c r="I27" s="343">
        <f t="shared" si="4"/>
        <v>-5250</v>
      </c>
      <c r="J27" s="343">
        <f t="shared" si="4"/>
        <v>-278500</v>
      </c>
      <c r="K27" s="552">
        <f t="shared" si="4"/>
        <v>-366750</v>
      </c>
      <c r="M27" s="533" t="s">
        <v>333</v>
      </c>
      <c r="N27" s="256"/>
      <c r="O27" s="343"/>
      <c r="P27" s="343">
        <v>4054750</v>
      </c>
      <c r="Q27" s="343">
        <v>4884250</v>
      </c>
      <c r="R27" s="552">
        <v>4968000</v>
      </c>
    </row>
    <row r="28" spans="1:18" x14ac:dyDescent="0.2">
      <c r="A28" s="578"/>
      <c r="B28" s="255"/>
      <c r="C28" s="597"/>
      <c r="D28" s="579"/>
      <c r="E28" s="579"/>
      <c r="F28" s="580"/>
      <c r="H28" s="598"/>
      <c r="I28" s="579"/>
      <c r="J28" s="579"/>
      <c r="K28" s="580"/>
      <c r="M28" s="578"/>
      <c r="N28" s="255"/>
      <c r="O28" s="597"/>
      <c r="P28" s="579"/>
      <c r="Q28" s="579"/>
      <c r="R28" s="580"/>
    </row>
    <row r="29" spans="1:18" ht="13.5" thickBot="1" x14ac:dyDescent="0.25">
      <c r="A29" s="582" t="s">
        <v>335</v>
      </c>
      <c r="B29" s="256"/>
      <c r="C29" s="599"/>
      <c r="D29" s="583">
        <f>SUM(D25:D28)</f>
        <v>21750000</v>
      </c>
      <c r="E29" s="583">
        <f>SUM(E25:E28)</f>
        <v>25000000</v>
      </c>
      <c r="F29" s="584">
        <f>SUM(F25:F28)</f>
        <v>25000000</v>
      </c>
      <c r="H29" s="600"/>
      <c r="I29" s="601">
        <f t="shared" si="4"/>
        <v>0</v>
      </c>
      <c r="J29" s="601">
        <f t="shared" si="4"/>
        <v>0</v>
      </c>
      <c r="K29" s="602">
        <f t="shared" si="4"/>
        <v>0</v>
      </c>
      <c r="M29" s="582" t="s">
        <v>335</v>
      </c>
      <c r="N29" s="256"/>
      <c r="O29" s="599"/>
      <c r="P29" s="583">
        <v>21750000</v>
      </c>
      <c r="Q29" s="583">
        <v>25000000</v>
      </c>
      <c r="R29" s="584">
        <v>25000000</v>
      </c>
    </row>
    <row r="30" spans="1:18" s="229" customFormat="1" ht="13.5" thickTop="1" x14ac:dyDescent="0.2">
      <c r="A30" s="603"/>
      <c r="B30" s="604"/>
      <c r="C30" s="605"/>
      <c r="D30" s="606"/>
      <c r="E30" s="606"/>
      <c r="F30" s="607"/>
      <c r="H30" s="608"/>
      <c r="I30" s="609"/>
      <c r="J30" s="609"/>
      <c r="K30" s="610"/>
      <c r="M30" s="603"/>
      <c r="N30" s="604"/>
      <c r="O30" s="605"/>
      <c r="P30" s="606"/>
      <c r="Q30" s="606"/>
      <c r="R30" s="607"/>
    </row>
    <row r="31" spans="1:18" x14ac:dyDescent="0.2">
      <c r="D31" s="611"/>
      <c r="E31" s="611"/>
      <c r="F31" s="611"/>
      <c r="G31" s="611"/>
    </row>
  </sheetData>
  <mergeCells count="5">
    <mergeCell ref="H4:K5"/>
    <mergeCell ref="M4:Q5"/>
    <mergeCell ref="B6:C6"/>
    <mergeCell ref="H6:I6"/>
    <mergeCell ref="N6:O6"/>
  </mergeCells>
  <pageMargins left="1" right="0.75" top="0.75" bottom="0.5" header="0.5" footer="0.5"/>
  <pageSetup orientation="landscape" r:id="rId1"/>
  <headerFooter>
    <oddFooter>&amp;L&amp;KFF0000Final Rate Application&amp;CPage &amp;P of &amp;N&amp;R02/10/2017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P39"/>
  <sheetViews>
    <sheetView showOutlineSymbols="0" topLeftCell="A2" zoomScaleNormal="100" zoomScaleSheetLayoutView="100" workbookViewId="0">
      <selection activeCell="D11" sqref="D11"/>
    </sheetView>
  </sheetViews>
  <sheetFormatPr defaultRowHeight="12.75" x14ac:dyDescent="0.2"/>
  <cols>
    <col min="1" max="1" width="46.85546875" style="121" customWidth="1"/>
    <col min="2" max="3" width="17.5703125" style="121" customWidth="1"/>
    <col min="4" max="4" width="19.140625" style="121" customWidth="1"/>
    <col min="5" max="5" width="22.5703125" style="121" customWidth="1"/>
    <col min="6" max="6" width="2.42578125" style="121" customWidth="1"/>
    <col min="7" max="8" width="12.28515625" style="121" customWidth="1"/>
    <col min="9" max="9" width="15" style="121" customWidth="1"/>
    <col min="10" max="10" width="16.140625" style="121" bestFit="1" customWidth="1"/>
    <col min="11" max="11" width="3.140625" style="121" customWidth="1"/>
    <col min="12" max="12" width="45.42578125" style="121" bestFit="1" customWidth="1"/>
    <col min="13" max="15" width="14.5703125" style="121" customWidth="1"/>
    <col min="16" max="16" width="18.5703125" style="121" customWidth="1"/>
    <col min="17" max="16384" width="9.140625" style="121"/>
  </cols>
  <sheetData>
    <row r="1" spans="1:16" ht="17.25" hidden="1" customHeight="1" x14ac:dyDescent="0.2">
      <c r="E1" s="121">
        <v>1</v>
      </c>
    </row>
    <row r="2" spans="1:16" ht="18" customHeight="1" x14ac:dyDescent="0.2">
      <c r="A2" s="112" t="str">
        <f>B!A2</f>
        <v>Recology San Francisco</v>
      </c>
      <c r="B2" s="505"/>
      <c r="C2" s="505"/>
    </row>
    <row r="3" spans="1:16" ht="12.75" customHeight="1" x14ac:dyDescent="0.2">
      <c r="A3" s="436" t="s">
        <v>339</v>
      </c>
      <c r="B3" s="506"/>
      <c r="C3" s="506"/>
      <c r="D3" s="177"/>
      <c r="E3" s="612"/>
    </row>
    <row r="4" spans="1:16" ht="12.75" customHeight="1" x14ac:dyDescent="0.2">
      <c r="A4" s="265" t="s">
        <v>340</v>
      </c>
      <c r="B4" s="613"/>
      <c r="C4" s="613"/>
      <c r="D4" s="613"/>
      <c r="E4" s="613"/>
      <c r="G4" s="1522" t="s">
        <v>74</v>
      </c>
      <c r="H4" s="1523"/>
      <c r="I4" s="1523"/>
      <c r="J4" s="1524"/>
      <c r="K4" s="507"/>
      <c r="L4" s="1497" t="s">
        <v>75</v>
      </c>
      <c r="M4" s="1498"/>
      <c r="N4" s="1498"/>
      <c r="O4" s="1498"/>
      <c r="P4" s="1499"/>
    </row>
    <row r="5" spans="1:16" ht="19.5" customHeight="1" x14ac:dyDescent="0.2">
      <c r="A5" s="177"/>
      <c r="B5" s="185"/>
      <c r="C5" s="185"/>
      <c r="D5" s="185"/>
      <c r="E5" s="185"/>
      <c r="G5" s="1531"/>
      <c r="H5" s="1527"/>
      <c r="I5" s="1527"/>
      <c r="J5" s="1528"/>
      <c r="K5" s="507"/>
      <c r="L5" s="1529"/>
      <c r="M5" s="1502"/>
      <c r="N5" s="1502"/>
      <c r="O5" s="1502"/>
      <c r="P5" s="1503"/>
    </row>
    <row r="6" spans="1:16" ht="18.75" customHeight="1" x14ac:dyDescent="0.2">
      <c r="A6" s="185"/>
      <c r="B6" s="1552" t="s">
        <v>207</v>
      </c>
      <c r="C6" s="1553"/>
      <c r="D6" s="614" t="s">
        <v>208</v>
      </c>
      <c r="E6" s="615" t="s">
        <v>209</v>
      </c>
      <c r="G6" s="1552" t="s">
        <v>207</v>
      </c>
      <c r="H6" s="1554"/>
      <c r="I6" s="510" t="s">
        <v>208</v>
      </c>
      <c r="J6" s="511" t="s">
        <v>209</v>
      </c>
      <c r="K6" s="512"/>
      <c r="L6" s="513"/>
      <c r="M6" s="1552" t="s">
        <v>207</v>
      </c>
      <c r="N6" s="1554"/>
      <c r="O6" s="510" t="s">
        <v>208</v>
      </c>
      <c r="P6" s="511" t="s">
        <v>209</v>
      </c>
    </row>
    <row r="7" spans="1:16" ht="19.5" customHeight="1" x14ac:dyDescent="0.2">
      <c r="A7" s="616" t="s">
        <v>341</v>
      </c>
      <c r="B7" s="515" t="s">
        <v>103</v>
      </c>
      <c r="C7" s="516" t="s">
        <v>104</v>
      </c>
      <c r="D7" s="617" t="s">
        <v>99</v>
      </c>
      <c r="E7" s="521" t="s">
        <v>69</v>
      </c>
      <c r="G7" s="515" t="s">
        <v>103</v>
      </c>
      <c r="H7" s="516" t="s">
        <v>104</v>
      </c>
      <c r="I7" s="517" t="s">
        <v>99</v>
      </c>
      <c r="J7" s="521" t="s">
        <v>69</v>
      </c>
      <c r="K7" s="522"/>
      <c r="L7" s="616" t="s">
        <v>341</v>
      </c>
      <c r="M7" s="515" t="s">
        <v>103</v>
      </c>
      <c r="N7" s="516" t="s">
        <v>104</v>
      </c>
      <c r="O7" s="517" t="s">
        <v>99</v>
      </c>
      <c r="P7" s="518" t="s">
        <v>69</v>
      </c>
    </row>
    <row r="8" spans="1:16" ht="19.5" customHeight="1" x14ac:dyDescent="0.2">
      <c r="A8" s="533" t="s">
        <v>342</v>
      </c>
      <c r="B8" s="618">
        <f>+B12/12/B11</f>
        <v>1706.7927599206346</v>
      </c>
      <c r="C8" s="619">
        <f>+C12/12/C11</f>
        <v>1808.4874199576238</v>
      </c>
      <c r="D8" s="620">
        <v>2022.9530421261738</v>
      </c>
      <c r="E8" s="621">
        <v>2101.7644034179543</v>
      </c>
      <c r="G8" s="618">
        <f>IFERROR(B8-M8,"")</f>
        <v>0</v>
      </c>
      <c r="H8" s="619">
        <f>IFERROR(C8-N8,"")</f>
        <v>0</v>
      </c>
      <c r="I8" s="620">
        <f>IFERROR(D8-O8,"")</f>
        <v>-6.3189786020527663</v>
      </c>
      <c r="J8" s="621">
        <f>IFERROR(E8-P8,"")</f>
        <v>13.60683245393966</v>
      </c>
      <c r="L8" s="533" t="s">
        <v>342</v>
      </c>
      <c r="M8" s="618">
        <v>1706.7927599206346</v>
      </c>
      <c r="N8" s="619">
        <v>1808.4874199576238</v>
      </c>
      <c r="O8" s="620">
        <v>2029.2720207282266</v>
      </c>
      <c r="P8" s="621">
        <v>2088.1575709640147</v>
      </c>
    </row>
    <row r="9" spans="1:16" ht="19.5" customHeight="1" x14ac:dyDescent="0.2">
      <c r="A9" s="533" t="s">
        <v>343</v>
      </c>
      <c r="B9" s="622">
        <v>12</v>
      </c>
      <c r="C9" s="623">
        <f>+B9</f>
        <v>12</v>
      </c>
      <c r="D9" s="622">
        <v>12</v>
      </c>
      <c r="E9" s="147">
        <f>+D9</f>
        <v>12</v>
      </c>
      <c r="G9" s="622">
        <f t="shared" ref="G9:J28" si="0">IFERROR(B9-M9,"")</f>
        <v>0</v>
      </c>
      <c r="H9" s="623">
        <f t="shared" si="0"/>
        <v>0</v>
      </c>
      <c r="I9" s="622">
        <f t="shared" si="0"/>
        <v>0</v>
      </c>
      <c r="J9" s="147">
        <f t="shared" si="0"/>
        <v>0</v>
      </c>
      <c r="L9" s="533" t="s">
        <v>343</v>
      </c>
      <c r="M9" s="622">
        <v>12</v>
      </c>
      <c r="N9" s="623">
        <v>12</v>
      </c>
      <c r="O9" s="622">
        <v>12</v>
      </c>
      <c r="P9" s="147">
        <v>12</v>
      </c>
    </row>
    <row r="10" spans="1:16" ht="19.5" customHeight="1" x14ac:dyDescent="0.2">
      <c r="A10" s="624" t="s">
        <v>344</v>
      </c>
      <c r="B10" s="625">
        <f>+B9*B8</f>
        <v>20481.513119047617</v>
      </c>
      <c r="C10" s="626">
        <f>+C9*C8</f>
        <v>21701.849039491484</v>
      </c>
      <c r="D10" s="625">
        <f>+D9*D8</f>
        <v>24275.436505514088</v>
      </c>
      <c r="E10" s="627">
        <f>+E9*E8</f>
        <v>25221.172841015454</v>
      </c>
      <c r="G10" s="625">
        <f t="shared" si="0"/>
        <v>0</v>
      </c>
      <c r="H10" s="626">
        <f t="shared" si="0"/>
        <v>0</v>
      </c>
      <c r="I10" s="625">
        <f t="shared" si="0"/>
        <v>-75.827743224632286</v>
      </c>
      <c r="J10" s="627">
        <f t="shared" si="0"/>
        <v>163.28198944727774</v>
      </c>
      <c r="L10" s="624" t="s">
        <v>344</v>
      </c>
      <c r="M10" s="625">
        <v>20481.513119047617</v>
      </c>
      <c r="N10" s="626">
        <v>21701.849039491484</v>
      </c>
      <c r="O10" s="625">
        <v>24351.26424873872</v>
      </c>
      <c r="P10" s="627">
        <v>25057.890851568176</v>
      </c>
    </row>
    <row r="11" spans="1:16" ht="19.5" customHeight="1" x14ac:dyDescent="0.2">
      <c r="A11" s="628" t="s">
        <v>345</v>
      </c>
      <c r="B11" s="629">
        <f>G.1!D20</f>
        <v>420</v>
      </c>
      <c r="C11" s="630">
        <f>G.1!F20</f>
        <v>426.33666666666664</v>
      </c>
      <c r="D11" s="629">
        <f>+G.1!H20</f>
        <v>451</v>
      </c>
      <c r="E11" s="631">
        <f>+G.1!J20</f>
        <v>461</v>
      </c>
      <c r="G11" s="629">
        <f t="shared" si="0"/>
        <v>0</v>
      </c>
      <c r="H11" s="630">
        <f t="shared" si="0"/>
        <v>0</v>
      </c>
      <c r="I11" s="629">
        <f t="shared" si="0"/>
        <v>0</v>
      </c>
      <c r="J11" s="631">
        <f t="shared" si="0"/>
        <v>1</v>
      </c>
      <c r="L11" s="628" t="s">
        <v>345</v>
      </c>
      <c r="M11" s="629">
        <v>420</v>
      </c>
      <c r="N11" s="630">
        <v>426.33666666666664</v>
      </c>
      <c r="O11" s="629">
        <v>451</v>
      </c>
      <c r="P11" s="631">
        <v>460</v>
      </c>
    </row>
    <row r="12" spans="1:16" ht="19.5" customHeight="1" x14ac:dyDescent="0.2">
      <c r="A12" s="632" t="s">
        <v>341</v>
      </c>
      <c r="B12" s="633">
        <f>D!D12-B14</f>
        <v>8602235.5099999979</v>
      </c>
      <c r="C12" s="634">
        <f>D!E12-C14</f>
        <v>9252293.9800000004</v>
      </c>
      <c r="D12" s="633">
        <f>+D11*D10</f>
        <v>10948221.863986854</v>
      </c>
      <c r="E12" s="635">
        <f>+E11*E10</f>
        <v>11626960.679708125</v>
      </c>
      <c r="G12" s="636">
        <f t="shared" si="0"/>
        <v>0</v>
      </c>
      <c r="H12" s="637">
        <f t="shared" si="0"/>
        <v>0</v>
      </c>
      <c r="I12" s="636">
        <f t="shared" si="0"/>
        <v>-34198.312194310129</v>
      </c>
      <c r="J12" s="638">
        <f t="shared" si="0"/>
        <v>100330.88798676431</v>
      </c>
      <c r="L12" s="639" t="s">
        <v>341</v>
      </c>
      <c r="M12" s="636">
        <v>8602235.5099999979</v>
      </c>
      <c r="N12" s="637">
        <v>9252293.9800000004</v>
      </c>
      <c r="O12" s="636">
        <v>10982420.176181164</v>
      </c>
      <c r="P12" s="638">
        <v>11526629.791721361</v>
      </c>
    </row>
    <row r="13" spans="1:16" ht="21" customHeight="1" x14ac:dyDescent="0.2">
      <c r="A13" s="640" t="s">
        <v>346</v>
      </c>
      <c r="B13" s="641"/>
      <c r="C13" s="642"/>
      <c r="D13" s="641"/>
      <c r="E13" s="643"/>
      <c r="G13" s="641"/>
      <c r="H13" s="642"/>
      <c r="I13" s="641"/>
      <c r="J13" s="643"/>
      <c r="L13" s="640" t="s">
        <v>346</v>
      </c>
      <c r="M13" s="641"/>
      <c r="N13" s="642"/>
      <c r="O13" s="641"/>
      <c r="P13" s="643"/>
    </row>
    <row r="14" spans="1:16" ht="18.75" customHeight="1" x14ac:dyDescent="0.2">
      <c r="A14" s="533" t="s">
        <v>347</v>
      </c>
      <c r="B14" s="618">
        <f>+B28</f>
        <v>2371734.5499999998</v>
      </c>
      <c r="C14" s="619">
        <f>+C28</f>
        <v>2582537.6</v>
      </c>
      <c r="D14" s="618">
        <f>+D28</f>
        <v>2915568.2399999998</v>
      </c>
      <c r="E14" s="644">
        <f>+E28</f>
        <v>3225964.0181018477</v>
      </c>
      <c r="G14" s="618">
        <f t="shared" si="0"/>
        <v>0</v>
      </c>
      <c r="H14" s="619">
        <f t="shared" si="0"/>
        <v>0</v>
      </c>
      <c r="I14" s="618">
        <f t="shared" si="0"/>
        <v>0</v>
      </c>
      <c r="J14" s="644">
        <f t="shared" si="0"/>
        <v>8790.0926923756488</v>
      </c>
      <c r="L14" s="533" t="s">
        <v>347</v>
      </c>
      <c r="M14" s="618">
        <v>2371734.5499999998</v>
      </c>
      <c r="N14" s="619">
        <v>2582537.6</v>
      </c>
      <c r="O14" s="618">
        <v>2915568.2399999998</v>
      </c>
      <c r="P14" s="644">
        <v>3217173.9254094721</v>
      </c>
    </row>
    <row r="15" spans="1:16" ht="18.75" customHeight="1" x14ac:dyDescent="0.2">
      <c r="A15" s="645" t="s">
        <v>346</v>
      </c>
      <c r="B15" s="646">
        <f>SUM(B14:B14)</f>
        <v>2371734.5499999998</v>
      </c>
      <c r="C15" s="647">
        <f>SUM(C14:C14)</f>
        <v>2582537.6</v>
      </c>
      <c r="D15" s="646">
        <f>SUM(D14:D14)</f>
        <v>2915568.2399999998</v>
      </c>
      <c r="E15" s="648">
        <f>SUM(E14:E14)</f>
        <v>3225964.0181018477</v>
      </c>
      <c r="F15" s="258"/>
      <c r="G15" s="649">
        <f t="shared" si="0"/>
        <v>0</v>
      </c>
      <c r="H15" s="650">
        <f t="shared" si="0"/>
        <v>0</v>
      </c>
      <c r="I15" s="649">
        <f t="shared" si="0"/>
        <v>0</v>
      </c>
      <c r="J15" s="651">
        <f t="shared" si="0"/>
        <v>8790.0926923756488</v>
      </c>
      <c r="L15" s="652" t="s">
        <v>346</v>
      </c>
      <c r="M15" s="649">
        <v>2371734.5499999998</v>
      </c>
      <c r="N15" s="650">
        <v>2582537.6</v>
      </c>
      <c r="O15" s="649">
        <v>2915568.2399999998</v>
      </c>
      <c r="P15" s="651">
        <v>3217173.9254094721</v>
      </c>
    </row>
    <row r="16" spans="1:16" ht="18.75" customHeight="1" x14ac:dyDescent="0.2">
      <c r="A16" s="653" t="s">
        <v>348</v>
      </c>
      <c r="B16" s="646">
        <f>+B12+B15</f>
        <v>10973970.059999999</v>
      </c>
      <c r="C16" s="647">
        <f>+C12+C15</f>
        <v>11834831.58</v>
      </c>
      <c r="D16" s="646">
        <f>+D12+D15</f>
        <v>13863790.103986854</v>
      </c>
      <c r="E16" s="635">
        <f>+E12+E15</f>
        <v>14852924.697809972</v>
      </c>
      <c r="G16" s="654">
        <f t="shared" si="0"/>
        <v>0</v>
      </c>
      <c r="H16" s="655">
        <f t="shared" si="0"/>
        <v>0</v>
      </c>
      <c r="I16" s="654">
        <f t="shared" si="0"/>
        <v>-34198.312194310129</v>
      </c>
      <c r="J16" s="656">
        <f t="shared" si="0"/>
        <v>109120.98067913949</v>
      </c>
      <c r="L16" s="657" t="s">
        <v>348</v>
      </c>
      <c r="M16" s="654">
        <v>10973970.059999999</v>
      </c>
      <c r="N16" s="655">
        <v>11834831.58</v>
      </c>
      <c r="O16" s="654">
        <v>13897988.416181164</v>
      </c>
      <c r="P16" s="656">
        <v>14743803.717130832</v>
      </c>
    </row>
    <row r="17" spans="1:16" x14ac:dyDescent="0.2">
      <c r="A17" s="658"/>
      <c r="B17" s="658"/>
      <c r="C17" s="658"/>
      <c r="D17" s="659"/>
      <c r="E17" s="659"/>
      <c r="G17" s="658"/>
      <c r="H17" s="658"/>
      <c r="I17" s="659"/>
      <c r="J17" s="659"/>
      <c r="L17" s="658"/>
      <c r="M17" s="658"/>
      <c r="N17" s="658"/>
      <c r="O17" s="659"/>
      <c r="P17" s="659"/>
    </row>
    <row r="18" spans="1:16" ht="17.25" customHeight="1" x14ac:dyDescent="0.2">
      <c r="A18" s="660" t="s">
        <v>349</v>
      </c>
      <c r="B18" s="515" t="str">
        <f>+B7</f>
        <v>RY 2015</v>
      </c>
      <c r="C18" s="516" t="str">
        <f>+C7</f>
        <v>RY 2016</v>
      </c>
      <c r="D18" s="617" t="str">
        <f>+D7</f>
        <v>RY 2017</v>
      </c>
      <c r="E18" s="521" t="str">
        <f>+E7</f>
        <v>RY 2018</v>
      </c>
      <c r="G18" s="515" t="str">
        <f>+G7</f>
        <v>RY 2015</v>
      </c>
      <c r="H18" s="516" t="str">
        <f>+H7</f>
        <v>RY 2016</v>
      </c>
      <c r="I18" s="617" t="str">
        <f>+I7</f>
        <v>RY 2017</v>
      </c>
      <c r="J18" s="521" t="str">
        <f>+J7</f>
        <v>RY 2018</v>
      </c>
      <c r="L18" s="660" t="s">
        <v>349</v>
      </c>
      <c r="M18" s="515" t="s">
        <v>103</v>
      </c>
      <c r="N18" s="516" t="s">
        <v>104</v>
      </c>
      <c r="O18" s="617" t="s">
        <v>99</v>
      </c>
      <c r="P18" s="521" t="s">
        <v>69</v>
      </c>
    </row>
    <row r="19" spans="1:16" x14ac:dyDescent="0.2">
      <c r="A19" s="533" t="s">
        <v>350</v>
      </c>
      <c r="B19" s="533"/>
      <c r="C19" s="661">
        <f>(C21/B21)-1</f>
        <v>8.1984693438816647E-2</v>
      </c>
      <c r="D19" s="661">
        <f>(D21/C21)-1</f>
        <v>7.5756612410986746E-2</v>
      </c>
      <c r="E19" s="662">
        <v>8.2342451556833618E-2</v>
      </c>
      <c r="G19" s="533">
        <f t="shared" si="0"/>
        <v>0</v>
      </c>
      <c r="H19" s="663">
        <f t="shared" si="0"/>
        <v>0</v>
      </c>
      <c r="I19" s="664">
        <f t="shared" si="0"/>
        <v>0</v>
      </c>
      <c r="J19" s="665">
        <f t="shared" si="0"/>
        <v>0</v>
      </c>
      <c r="L19" s="533" t="s">
        <v>350</v>
      </c>
      <c r="M19" s="533"/>
      <c r="N19" s="661">
        <v>8.1984693438816647E-2</v>
      </c>
      <c r="O19" s="661">
        <v>7.5756612410986746E-2</v>
      </c>
      <c r="P19" s="662">
        <v>8.2342451556833618E-2</v>
      </c>
    </row>
    <row r="20" spans="1:16" x14ac:dyDescent="0.2">
      <c r="A20" s="618"/>
      <c r="B20" s="618"/>
      <c r="C20" s="619"/>
      <c r="D20" s="666"/>
      <c r="E20" s="667"/>
      <c r="G20" s="618">
        <f t="shared" si="0"/>
        <v>0</v>
      </c>
      <c r="H20" s="668">
        <f t="shared" si="0"/>
        <v>0</v>
      </c>
      <c r="I20" s="667"/>
      <c r="J20" s="667"/>
      <c r="L20" s="618"/>
      <c r="M20" s="618"/>
      <c r="N20" s="619"/>
      <c r="O20" s="666"/>
      <c r="P20" s="667"/>
    </row>
    <row r="21" spans="1:16" ht="15.75" customHeight="1" x14ac:dyDescent="0.2">
      <c r="A21" s="533" t="s">
        <v>351</v>
      </c>
      <c r="B21" s="533">
        <v>581.45000000000005</v>
      </c>
      <c r="C21" s="551">
        <v>629.12</v>
      </c>
      <c r="D21" s="669">
        <v>676.78</v>
      </c>
      <c r="E21" s="670">
        <f>D21*(1+E19)</f>
        <v>732.50772436463387</v>
      </c>
      <c r="G21" s="533">
        <f t="shared" si="0"/>
        <v>0</v>
      </c>
      <c r="H21" s="571">
        <f t="shared" si="0"/>
        <v>0</v>
      </c>
      <c r="I21" s="341">
        <f t="shared" si="0"/>
        <v>0</v>
      </c>
      <c r="J21" s="341">
        <f t="shared" si="0"/>
        <v>0</v>
      </c>
      <c r="L21" s="533" t="s">
        <v>351</v>
      </c>
      <c r="M21" s="533">
        <v>581.45000000000005</v>
      </c>
      <c r="N21" s="571">
        <v>629.12</v>
      </c>
      <c r="O21" s="341">
        <v>676.78</v>
      </c>
      <c r="P21" s="341">
        <v>732.50772436463387</v>
      </c>
    </row>
    <row r="22" spans="1:16" ht="15.75" customHeight="1" x14ac:dyDescent="0.2">
      <c r="A22" s="533" t="s">
        <v>343</v>
      </c>
      <c r="B22" s="533">
        <v>12</v>
      </c>
      <c r="C22" s="551">
        <f>+B22</f>
        <v>12</v>
      </c>
      <c r="D22" s="669">
        <v>12</v>
      </c>
      <c r="E22" s="670">
        <f>+D22</f>
        <v>12</v>
      </c>
      <c r="G22" s="533">
        <f t="shared" si="0"/>
        <v>0</v>
      </c>
      <c r="H22" s="571">
        <f t="shared" si="0"/>
        <v>0</v>
      </c>
      <c r="I22" s="671">
        <f t="shared" si="0"/>
        <v>0</v>
      </c>
      <c r="J22" s="671">
        <f t="shared" si="0"/>
        <v>0</v>
      </c>
      <c r="L22" s="533" t="s">
        <v>343</v>
      </c>
      <c r="M22" s="533">
        <v>12</v>
      </c>
      <c r="N22" s="571">
        <v>12</v>
      </c>
      <c r="O22" s="671">
        <v>12</v>
      </c>
      <c r="P22" s="671">
        <v>12</v>
      </c>
    </row>
    <row r="23" spans="1:16" ht="15.75" customHeight="1" x14ac:dyDescent="0.2">
      <c r="A23" s="624" t="s">
        <v>344</v>
      </c>
      <c r="B23" s="624">
        <f>+B21*B22</f>
        <v>6977.4000000000005</v>
      </c>
      <c r="C23" s="672">
        <f>+C21*C22</f>
        <v>7549.4400000000005</v>
      </c>
      <c r="D23" s="673">
        <f>+D21*D22</f>
        <v>8121.36</v>
      </c>
      <c r="E23" s="313">
        <f>+E21*E22</f>
        <v>8790.0926923756069</v>
      </c>
      <c r="G23" s="624">
        <f t="shared" si="0"/>
        <v>0</v>
      </c>
      <c r="H23" s="672">
        <f t="shared" si="0"/>
        <v>0</v>
      </c>
      <c r="I23" s="673">
        <f t="shared" si="0"/>
        <v>0</v>
      </c>
      <c r="J23" s="313">
        <f t="shared" si="0"/>
        <v>0</v>
      </c>
      <c r="L23" s="624" t="s">
        <v>344</v>
      </c>
      <c r="M23" s="624">
        <v>6977.4000000000005</v>
      </c>
      <c r="N23" s="672">
        <v>7549.4400000000005</v>
      </c>
      <c r="O23" s="673">
        <v>8121.36</v>
      </c>
      <c r="P23" s="313">
        <v>8790.0926923756069</v>
      </c>
    </row>
    <row r="24" spans="1:16" ht="15.75" customHeight="1" x14ac:dyDescent="0.2">
      <c r="A24" s="533" t="s">
        <v>352</v>
      </c>
      <c r="B24" s="674">
        <f>SUM(G.1!D11:D18)-36</f>
        <v>339.91666666666663</v>
      </c>
      <c r="C24" s="675">
        <f>+SUM(G.1!F11:F18)-40</f>
        <v>342.08333333333331</v>
      </c>
      <c r="D24" s="95">
        <f>SUM(G.1!H11:H18)-47</f>
        <v>359</v>
      </c>
      <c r="E24" s="144">
        <f>SUM(G.1!J11:J18)-49</f>
        <v>367</v>
      </c>
      <c r="G24" s="674">
        <f t="shared" si="0"/>
        <v>0</v>
      </c>
      <c r="H24" s="675">
        <f t="shared" si="0"/>
        <v>0</v>
      </c>
      <c r="I24" s="95">
        <f t="shared" si="0"/>
        <v>0</v>
      </c>
      <c r="J24" s="144">
        <f t="shared" si="0"/>
        <v>1</v>
      </c>
      <c r="L24" s="533" t="s">
        <v>352</v>
      </c>
      <c r="M24" s="674">
        <v>339.91666666666663</v>
      </c>
      <c r="N24" s="675">
        <v>342.08333333333331</v>
      </c>
      <c r="O24" s="95">
        <v>359</v>
      </c>
      <c r="P24" s="144">
        <v>366</v>
      </c>
    </row>
    <row r="25" spans="1:16" ht="15.75" customHeight="1" x14ac:dyDescent="0.2">
      <c r="A25" s="624" t="s">
        <v>353</v>
      </c>
      <c r="B25" s="624">
        <f>+B24*B23</f>
        <v>2371734.5499999998</v>
      </c>
      <c r="C25" s="672">
        <f>+C24*C23</f>
        <v>2582537.6</v>
      </c>
      <c r="D25" s="624">
        <f>+D24*D23</f>
        <v>2915568.2399999998</v>
      </c>
      <c r="E25" s="676">
        <f>+E24*E23</f>
        <v>3225964.0181018477</v>
      </c>
      <c r="G25" s="624">
        <f t="shared" si="0"/>
        <v>0</v>
      </c>
      <c r="H25" s="672">
        <f t="shared" si="0"/>
        <v>0</v>
      </c>
      <c r="I25" s="624">
        <f t="shared" si="0"/>
        <v>0</v>
      </c>
      <c r="J25" s="676">
        <f t="shared" si="0"/>
        <v>8790.0926923756488</v>
      </c>
      <c r="L25" s="624" t="s">
        <v>353</v>
      </c>
      <c r="M25" s="624">
        <v>2371734.5499999998</v>
      </c>
      <c r="N25" s="672">
        <v>2582537.6</v>
      </c>
      <c r="O25" s="624">
        <v>2915568.2399999998</v>
      </c>
      <c r="P25" s="676">
        <v>3217173.9254094721</v>
      </c>
    </row>
    <row r="26" spans="1:16" ht="15.75" customHeight="1" x14ac:dyDescent="0.2">
      <c r="A26" s="533" t="s">
        <v>354</v>
      </c>
      <c r="B26" s="533"/>
      <c r="C26" s="551"/>
      <c r="D26" s="677"/>
      <c r="E26" s="678"/>
      <c r="G26" s="533">
        <f t="shared" si="0"/>
        <v>0</v>
      </c>
      <c r="H26" s="551">
        <f t="shared" si="0"/>
        <v>0</v>
      </c>
      <c r="I26" s="677">
        <f t="shared" si="0"/>
        <v>0</v>
      </c>
      <c r="J26" s="678">
        <f t="shared" si="0"/>
        <v>0</v>
      </c>
      <c r="L26" s="533" t="s">
        <v>354</v>
      </c>
      <c r="M26" s="533"/>
      <c r="N26" s="551"/>
      <c r="O26" s="677"/>
      <c r="P26" s="678"/>
    </row>
    <row r="27" spans="1:16" ht="5.0999999999999996" customHeight="1" x14ac:dyDescent="0.2">
      <c r="A27" s="624"/>
      <c r="B27" s="566"/>
      <c r="C27" s="679"/>
      <c r="D27" s="566"/>
      <c r="E27" s="680"/>
      <c r="G27" s="566">
        <f t="shared" si="0"/>
        <v>0</v>
      </c>
      <c r="H27" s="679">
        <f t="shared" si="0"/>
        <v>0</v>
      </c>
      <c r="I27" s="566">
        <f t="shared" si="0"/>
        <v>0</v>
      </c>
      <c r="J27" s="680">
        <f t="shared" si="0"/>
        <v>0</v>
      </c>
      <c r="L27" s="624"/>
      <c r="M27" s="566"/>
      <c r="N27" s="679"/>
      <c r="O27" s="566"/>
      <c r="P27" s="680"/>
    </row>
    <row r="28" spans="1:16" ht="15.75" customHeight="1" x14ac:dyDescent="0.2">
      <c r="A28" s="677" t="s">
        <v>355</v>
      </c>
      <c r="B28" s="681">
        <f>SUM(B25:B27)</f>
        <v>2371734.5499999998</v>
      </c>
      <c r="C28" s="682">
        <f>SUM(C25:C27)</f>
        <v>2582537.6</v>
      </c>
      <c r="D28" s="681">
        <f>SUM(D25:D27)</f>
        <v>2915568.2399999998</v>
      </c>
      <c r="E28" s="683">
        <f>SUM(E25:E27)</f>
        <v>3225964.0181018477</v>
      </c>
      <c r="G28" s="681">
        <f t="shared" si="0"/>
        <v>0</v>
      </c>
      <c r="H28" s="682">
        <f t="shared" si="0"/>
        <v>0</v>
      </c>
      <c r="I28" s="681">
        <f t="shared" si="0"/>
        <v>0</v>
      </c>
      <c r="J28" s="683">
        <f t="shared" si="0"/>
        <v>8790.0926923756488</v>
      </c>
      <c r="L28" s="677" t="s">
        <v>355</v>
      </c>
      <c r="M28" s="681">
        <v>2371734.5499999998</v>
      </c>
      <c r="N28" s="682">
        <v>2582537.6</v>
      </c>
      <c r="O28" s="681">
        <v>2915568.2399999998</v>
      </c>
      <c r="P28" s="683">
        <v>3217173.9254094721</v>
      </c>
    </row>
    <row r="29" spans="1:16" ht="5.0999999999999996" customHeight="1" x14ac:dyDescent="0.2">
      <c r="A29" s="628"/>
      <c r="B29" s="628"/>
      <c r="C29" s="684"/>
      <c r="D29" s="685"/>
      <c r="E29" s="686"/>
      <c r="G29" s="628"/>
      <c r="H29" s="684"/>
      <c r="I29" s="685"/>
      <c r="J29" s="686"/>
      <c r="L29" s="628"/>
      <c r="M29" s="628"/>
      <c r="N29" s="684"/>
      <c r="O29" s="685"/>
      <c r="P29" s="686"/>
    </row>
    <row r="30" spans="1:16" ht="15.75" customHeight="1" x14ac:dyDescent="0.2">
      <c r="A30" s="567"/>
      <c r="B30" s="571"/>
      <c r="C30" s="571"/>
      <c r="D30" s="687"/>
      <c r="E30" s="687"/>
    </row>
    <row r="31" spans="1:16" ht="15.75" customHeight="1" x14ac:dyDescent="0.2">
      <c r="A31" s="533"/>
      <c r="B31" s="571"/>
      <c r="C31" s="571"/>
      <c r="D31" s="687"/>
      <c r="E31" s="687"/>
    </row>
    <row r="32" spans="1:16" x14ac:dyDescent="0.2">
      <c r="D32" s="611"/>
      <c r="E32" s="611"/>
      <c r="F32" s="611"/>
    </row>
    <row r="33" spans="4:6" x14ac:dyDescent="0.2">
      <c r="D33" s="611"/>
      <c r="E33" s="611"/>
      <c r="F33" s="611"/>
    </row>
    <row r="34" spans="4:6" x14ac:dyDescent="0.2">
      <c r="D34" s="611"/>
      <c r="E34" s="611"/>
      <c r="F34" s="611"/>
    </row>
    <row r="35" spans="4:6" x14ac:dyDescent="0.2">
      <c r="D35" s="611"/>
      <c r="E35" s="611"/>
      <c r="F35" s="611"/>
    </row>
    <row r="36" spans="4:6" x14ac:dyDescent="0.2">
      <c r="D36" s="611"/>
      <c r="E36" s="611"/>
      <c r="F36" s="611"/>
    </row>
    <row r="37" spans="4:6" x14ac:dyDescent="0.2">
      <c r="D37" s="611"/>
      <c r="E37" s="611"/>
      <c r="F37" s="611"/>
    </row>
    <row r="38" spans="4:6" x14ac:dyDescent="0.2">
      <c r="D38" s="611"/>
      <c r="E38" s="611"/>
      <c r="F38" s="611"/>
    </row>
    <row r="39" spans="4:6" x14ac:dyDescent="0.2">
      <c r="D39" s="611"/>
      <c r="E39" s="611"/>
      <c r="F39" s="611"/>
    </row>
  </sheetData>
  <mergeCells count="5">
    <mergeCell ref="G4:J5"/>
    <mergeCell ref="L4:P5"/>
    <mergeCell ref="B6:C6"/>
    <mergeCell ref="G6:H6"/>
    <mergeCell ref="M6:N6"/>
  </mergeCells>
  <pageMargins left="1" right="0.75" top="0.75" bottom="0.5" header="0.5" footer="0.5"/>
  <pageSetup scale="97" orientation="landscape" r:id="rId1"/>
  <headerFooter>
    <oddFooter>&amp;L&amp;KFF0000Final Rate Application&amp;CPage &amp;P of &amp;N&amp;R02/10/2017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V13"/>
  <sheetViews>
    <sheetView showOutlineSymbols="0" zoomScaleNormal="100" workbookViewId="0"/>
  </sheetViews>
  <sheetFormatPr defaultRowHeight="12.75" outlineLevelRow="1" x14ac:dyDescent="0.2"/>
  <cols>
    <col min="1" max="1" width="32" customWidth="1"/>
    <col min="2" max="4" width="15.5703125" customWidth="1"/>
    <col min="5" max="6" width="18.5703125" customWidth="1"/>
    <col min="7" max="7" width="2.140625" customWidth="1"/>
    <col min="8" max="10" width="13.140625" customWidth="1"/>
    <col min="11" max="11" width="11.42578125" customWidth="1"/>
    <col min="12" max="12" width="16.140625" bestFit="1" customWidth="1"/>
    <col min="13" max="13" width="2.28515625" customWidth="1"/>
    <col min="14" max="14" width="24.42578125" customWidth="1"/>
    <col min="15" max="17" width="14" customWidth="1"/>
    <col min="18" max="18" width="12.28515625" bestFit="1" customWidth="1"/>
    <col min="19" max="19" width="16.140625" bestFit="1" customWidth="1"/>
  </cols>
  <sheetData>
    <row r="1" spans="1:22" ht="16.5" customHeight="1" x14ac:dyDescent="0.2">
      <c r="A1" s="112" t="str">
        <f>+G.3!A2</f>
        <v>Recology San Francisco</v>
      </c>
      <c r="B1" s="505"/>
      <c r="C1" s="505"/>
      <c r="D1" s="505"/>
      <c r="E1" s="121"/>
    </row>
    <row r="2" spans="1:22" ht="16.5" customHeight="1" x14ac:dyDescent="0.2">
      <c r="A2" s="300" t="s">
        <v>356</v>
      </c>
      <c r="B2" s="506"/>
      <c r="C2" s="506"/>
      <c r="D2" s="506"/>
      <c r="E2" s="177"/>
      <c r="F2" s="177"/>
    </row>
    <row r="3" spans="1:22" ht="16.5" customHeight="1" x14ac:dyDescent="0.2">
      <c r="A3" s="117" t="s">
        <v>28</v>
      </c>
      <c r="B3" s="688"/>
      <c r="C3" s="688"/>
      <c r="D3" s="688"/>
      <c r="E3" s="177"/>
      <c r="F3" s="177"/>
      <c r="H3" s="1522" t="s">
        <v>74</v>
      </c>
      <c r="I3" s="1523"/>
      <c r="J3" s="1523"/>
      <c r="K3" s="1523"/>
      <c r="L3" s="1524"/>
      <c r="M3" s="12"/>
      <c r="N3" s="1497" t="s">
        <v>75</v>
      </c>
      <c r="O3" s="1498"/>
      <c r="P3" s="1498"/>
      <c r="Q3" s="1498"/>
      <c r="R3" s="1498"/>
      <c r="S3" s="1499"/>
    </row>
    <row r="4" spans="1:22" ht="22.5" customHeight="1" x14ac:dyDescent="0.2">
      <c r="A4" s="177"/>
      <c r="B4" s="185"/>
      <c r="C4" s="185"/>
      <c r="D4" s="185"/>
      <c r="E4" s="185"/>
      <c r="F4" s="185"/>
      <c r="H4" s="1525"/>
      <c r="I4" s="1526"/>
      <c r="J4" s="1526"/>
      <c r="K4" s="1527"/>
      <c r="L4" s="1528"/>
      <c r="M4" s="12"/>
      <c r="N4" s="1529"/>
      <c r="O4" s="1502"/>
      <c r="P4" s="1502"/>
      <c r="Q4" s="1502"/>
      <c r="R4" s="1502"/>
      <c r="S4" s="1503"/>
    </row>
    <row r="5" spans="1:22" ht="19.5" customHeight="1" x14ac:dyDescent="0.2">
      <c r="A5" s="185"/>
      <c r="B5" s="1552" t="s">
        <v>207</v>
      </c>
      <c r="C5" s="1555"/>
      <c r="D5" s="1554"/>
      <c r="E5" s="614" t="s">
        <v>208</v>
      </c>
      <c r="F5" s="615" t="s">
        <v>209</v>
      </c>
      <c r="H5" s="1504" t="s">
        <v>207</v>
      </c>
      <c r="I5" s="1505"/>
      <c r="J5" s="1506"/>
      <c r="K5" s="267" t="s">
        <v>208</v>
      </c>
      <c r="L5" s="19" t="s">
        <v>209</v>
      </c>
      <c r="M5" s="12"/>
      <c r="N5" s="413"/>
      <c r="O5" s="1504" t="s">
        <v>207</v>
      </c>
      <c r="P5" s="1505"/>
      <c r="Q5" s="1506"/>
      <c r="R5" s="267" t="s">
        <v>208</v>
      </c>
      <c r="S5" s="19" t="s">
        <v>209</v>
      </c>
    </row>
    <row r="6" spans="1:22" ht="18" customHeight="1" x14ac:dyDescent="0.2">
      <c r="A6" s="689"/>
      <c r="B6" s="516" t="s">
        <v>102</v>
      </c>
      <c r="C6" s="516" t="s">
        <v>103</v>
      </c>
      <c r="D6" s="516" t="s">
        <v>104</v>
      </c>
      <c r="E6" s="617" t="s">
        <v>99</v>
      </c>
      <c r="F6" s="521" t="s">
        <v>69</v>
      </c>
      <c r="H6" s="416" t="s">
        <v>102</v>
      </c>
      <c r="I6" s="416" t="s">
        <v>103</v>
      </c>
      <c r="J6" s="415" t="s">
        <v>104</v>
      </c>
      <c r="K6" s="417" t="s">
        <v>99</v>
      </c>
      <c r="L6" s="418" t="s">
        <v>69</v>
      </c>
      <c r="M6" s="420"/>
      <c r="N6" s="421"/>
      <c r="O6" s="416" t="s">
        <v>102</v>
      </c>
      <c r="P6" s="416" t="s">
        <v>103</v>
      </c>
      <c r="Q6" s="415" t="s">
        <v>104</v>
      </c>
      <c r="R6" s="417" t="s">
        <v>99</v>
      </c>
      <c r="S6" s="418" t="s">
        <v>69</v>
      </c>
    </row>
    <row r="7" spans="1:22" ht="21" customHeight="1" x14ac:dyDescent="0.2">
      <c r="A7" s="690" t="s">
        <v>357</v>
      </c>
      <c r="B7" s="691">
        <f>+D!C9</f>
        <v>34864212.939999998</v>
      </c>
      <c r="C7" s="691">
        <f>+D!D9</f>
        <v>37352465.840000004</v>
      </c>
      <c r="D7" s="691">
        <f>+D!E9</f>
        <v>39789488.030000001</v>
      </c>
      <c r="E7" s="692">
        <f>+D!F9</f>
        <v>42709306.000000007</v>
      </c>
      <c r="F7" s="693">
        <f>+D!G9</f>
        <v>45740820.909999989</v>
      </c>
      <c r="H7" s="691">
        <f t="shared" ref="H7:L9" si="0">IFERROR(B7-O7,"")</f>
        <v>0</v>
      </c>
      <c r="I7" s="691">
        <f t="shared" si="0"/>
        <v>0</v>
      </c>
      <c r="J7" s="691">
        <f t="shared" si="0"/>
        <v>0</v>
      </c>
      <c r="K7" s="692">
        <f t="shared" si="0"/>
        <v>0</v>
      </c>
      <c r="L7" s="693">
        <f t="shared" si="0"/>
        <v>185620.62999999523</v>
      </c>
      <c r="N7" s="690" t="s">
        <v>357</v>
      </c>
      <c r="O7" s="691">
        <v>34864212.939999998</v>
      </c>
      <c r="P7" s="691">
        <v>37352465.840000004</v>
      </c>
      <c r="Q7" s="691">
        <v>39789488.030000001</v>
      </c>
      <c r="R7" s="692">
        <v>42709306.000000007</v>
      </c>
      <c r="S7" s="693">
        <v>45555200.279999994</v>
      </c>
      <c r="T7" s="694"/>
      <c r="U7" s="694"/>
      <c r="V7" s="694"/>
    </row>
    <row r="8" spans="1:22" ht="21" customHeight="1" x14ac:dyDescent="0.2">
      <c r="A8" s="690" t="s">
        <v>358</v>
      </c>
      <c r="B8" s="696">
        <f t="shared" ref="B8:F8" si="1">+B9/B7</f>
        <v>8.8276065640620197E-2</v>
      </c>
      <c r="C8" s="696">
        <f t="shared" si="1"/>
        <v>8.4450090484307364E-2</v>
      </c>
      <c r="D8" s="696">
        <f t="shared" si="1"/>
        <v>9.511010061619031E-2</v>
      </c>
      <c r="E8" s="695">
        <f t="shared" si="1"/>
        <v>6.6873546406528303E-2</v>
      </c>
      <c r="F8" s="696">
        <f t="shared" si="1"/>
        <v>7.9658493072217409E-2</v>
      </c>
      <c r="H8" s="696">
        <f t="shared" si="0"/>
        <v>0</v>
      </c>
      <c r="I8" s="696">
        <f t="shared" si="0"/>
        <v>0</v>
      </c>
      <c r="J8" s="696">
        <f t="shared" si="0"/>
        <v>0</v>
      </c>
      <c r="K8" s="695">
        <f t="shared" si="0"/>
        <v>0</v>
      </c>
      <c r="L8" s="696">
        <f t="shared" si="0"/>
        <v>-3.2457896306092859E-4</v>
      </c>
      <c r="N8" s="690" t="s">
        <v>358</v>
      </c>
      <c r="O8" s="696">
        <v>8.8276065640620197E-2</v>
      </c>
      <c r="P8" s="696">
        <v>8.4450090484307364E-2</v>
      </c>
      <c r="Q8" s="696">
        <v>9.511010061619031E-2</v>
      </c>
      <c r="R8" s="695">
        <v>6.6873546406528303E-2</v>
      </c>
      <c r="S8" s="696">
        <v>7.9983072035278338E-2</v>
      </c>
      <c r="T8" s="697"/>
      <c r="U8" s="697"/>
      <c r="V8" s="697"/>
    </row>
    <row r="9" spans="1:22" ht="21" customHeight="1" x14ac:dyDescent="0.2">
      <c r="A9" s="698" t="s">
        <v>359</v>
      </c>
      <c r="B9" s="699">
        <f>+D!C13</f>
        <v>3077675.55</v>
      </c>
      <c r="C9" s="699">
        <f>+D!D13</f>
        <v>3154419.12</v>
      </c>
      <c r="D9" s="699">
        <f>+D!E13</f>
        <v>3784382.21</v>
      </c>
      <c r="E9" s="700">
        <v>2856122.7567816181</v>
      </c>
      <c r="F9" s="699">
        <v>3643644.8655767716</v>
      </c>
      <c r="H9" s="699">
        <f t="shared" si="0"/>
        <v>0</v>
      </c>
      <c r="I9" s="699">
        <f t="shared" si="0"/>
        <v>0</v>
      </c>
      <c r="J9" s="699">
        <f t="shared" si="0"/>
        <v>0</v>
      </c>
      <c r="K9" s="700">
        <f t="shared" si="0"/>
        <v>0</v>
      </c>
      <c r="L9" s="699">
        <f t="shared" si="0"/>
        <v>0</v>
      </c>
      <c r="N9" s="698" t="s">
        <v>359</v>
      </c>
      <c r="O9" s="699">
        <v>3077675.55</v>
      </c>
      <c r="P9" s="699">
        <v>3154419.12</v>
      </c>
      <c r="Q9" s="699">
        <v>3784382.21</v>
      </c>
      <c r="R9" s="700">
        <v>2856122.7567816181</v>
      </c>
      <c r="S9" s="699">
        <v>3643644.8655767716</v>
      </c>
      <c r="T9" s="694"/>
      <c r="U9" s="694"/>
      <c r="V9" s="694"/>
    </row>
    <row r="10" spans="1:22" x14ac:dyDescent="0.2">
      <c r="T10" s="18"/>
      <c r="U10" s="18"/>
      <c r="V10" s="18"/>
    </row>
    <row r="12" spans="1:22" outlineLevel="1" x14ac:dyDescent="0.2">
      <c r="A12" s="170"/>
      <c r="B12" s="701"/>
      <c r="C12" s="701"/>
      <c r="D12" s="701"/>
      <c r="E12" s="701"/>
      <c r="F12" s="701"/>
    </row>
    <row r="13" spans="1:22" x14ac:dyDescent="0.2">
      <c r="E13" s="702"/>
      <c r="F13" s="702"/>
    </row>
  </sheetData>
  <mergeCells count="5">
    <mergeCell ref="H3:L4"/>
    <mergeCell ref="N3:S4"/>
    <mergeCell ref="B5:D5"/>
    <mergeCell ref="H5:J5"/>
    <mergeCell ref="O5:Q5"/>
  </mergeCells>
  <pageMargins left="1" right="0.75" top="0.75" bottom="0.5" header="0.5" footer="0.5"/>
  <pageSetup orientation="landscape" r:id="rId1"/>
  <headerFooter>
    <oddFooter>&amp;L&amp;KFF0000Final Rate Application&amp;CPage &amp;P of &amp;N&amp;R02/10/2017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S36"/>
  <sheetViews>
    <sheetView showOutlineSymbols="0" zoomScaleNormal="100" workbookViewId="0"/>
  </sheetViews>
  <sheetFormatPr defaultRowHeight="12.75" outlineLevelRow="1" x14ac:dyDescent="0.2"/>
  <cols>
    <col min="1" max="1" width="33" style="12" customWidth="1"/>
    <col min="2" max="4" width="13.28515625" style="12" customWidth="1"/>
    <col min="5" max="5" width="15.5703125" style="12" customWidth="1"/>
    <col min="6" max="6" width="16.140625" style="12" bestFit="1" customWidth="1"/>
    <col min="7" max="7" width="2.28515625" style="12" customWidth="1"/>
    <col min="8" max="10" width="13.5703125" style="12" customWidth="1"/>
    <col min="11" max="11" width="15.140625" style="12" customWidth="1"/>
    <col min="12" max="12" width="16.140625" style="12" bestFit="1" customWidth="1"/>
    <col min="13" max="13" width="2.140625" style="12" customWidth="1"/>
    <col min="14" max="14" width="30.28515625" style="12" bestFit="1" customWidth="1"/>
    <col min="15" max="17" width="12" style="12" customWidth="1"/>
    <col min="18" max="18" width="13.7109375" style="12" customWidth="1"/>
    <col min="19" max="19" width="16.140625" style="12" bestFit="1" customWidth="1"/>
    <col min="20" max="16384" width="9.140625" style="12"/>
  </cols>
  <sheetData>
    <row r="1" spans="1:19" ht="12.75" customHeight="1" x14ac:dyDescent="0.2">
      <c r="A1" s="112" t="str">
        <f>B!$A$2</f>
        <v>Recology San Francisco</v>
      </c>
      <c r="G1" s="703"/>
    </row>
    <row r="2" spans="1:19" ht="12.75" customHeight="1" x14ac:dyDescent="0.2">
      <c r="A2" s="436" t="s">
        <v>360</v>
      </c>
    </row>
    <row r="3" spans="1:19" ht="12.75" customHeight="1" x14ac:dyDescent="0.2">
      <c r="A3" s="265" t="s">
        <v>30</v>
      </c>
    </row>
    <row r="4" spans="1:19" ht="12.75" customHeight="1" x14ac:dyDescent="0.2">
      <c r="A4" s="705"/>
      <c r="F4" s="707"/>
      <c r="H4" s="1522" t="s">
        <v>74</v>
      </c>
      <c r="I4" s="1523"/>
      <c r="J4" s="1523"/>
      <c r="K4" s="1523"/>
      <c r="L4" s="1524"/>
      <c r="N4" s="1497" t="s">
        <v>75</v>
      </c>
      <c r="O4" s="1498"/>
      <c r="P4" s="1498"/>
      <c r="Q4" s="1498"/>
      <c r="R4" s="1498"/>
      <c r="S4" s="1499"/>
    </row>
    <row r="5" spans="1:19" ht="12.75" customHeight="1" x14ac:dyDescent="0.2">
      <c r="A5" s="349"/>
      <c r="H5" s="1525"/>
      <c r="I5" s="1526"/>
      <c r="J5" s="1526"/>
      <c r="K5" s="1527"/>
      <c r="L5" s="1528"/>
      <c r="N5" s="1529"/>
      <c r="O5" s="1502"/>
      <c r="P5" s="1502"/>
      <c r="Q5" s="1502"/>
      <c r="R5" s="1502"/>
      <c r="S5" s="1503"/>
    </row>
    <row r="6" spans="1:19" ht="18.75" customHeight="1" x14ac:dyDescent="0.2">
      <c r="A6" s="708" t="s">
        <v>361</v>
      </c>
      <c r="B6" s="1556" t="s">
        <v>207</v>
      </c>
      <c r="C6" s="1557"/>
      <c r="D6" s="1558"/>
      <c r="E6" s="614" t="s">
        <v>338</v>
      </c>
      <c r="F6" s="709" t="s">
        <v>209</v>
      </c>
      <c r="H6" s="1504" t="s">
        <v>207</v>
      </c>
      <c r="I6" s="1505"/>
      <c r="J6" s="1506"/>
      <c r="K6" s="267" t="s">
        <v>208</v>
      </c>
      <c r="L6" s="19" t="s">
        <v>209</v>
      </c>
      <c r="N6" s="710" t="s">
        <v>361</v>
      </c>
      <c r="O6" s="1504" t="s">
        <v>207</v>
      </c>
      <c r="P6" s="1505"/>
      <c r="Q6" s="1506"/>
      <c r="R6" s="267" t="s">
        <v>208</v>
      </c>
      <c r="S6" s="19" t="s">
        <v>209</v>
      </c>
    </row>
    <row r="7" spans="1:19" ht="18.75" customHeight="1" x14ac:dyDescent="0.2">
      <c r="A7" s="711" t="s">
        <v>2</v>
      </c>
      <c r="B7" s="712" t="s">
        <v>102</v>
      </c>
      <c r="C7" s="712" t="s">
        <v>103</v>
      </c>
      <c r="D7" s="712" t="s">
        <v>104</v>
      </c>
      <c r="E7" s="617" t="s">
        <v>99</v>
      </c>
      <c r="F7" s="713" t="s">
        <v>69</v>
      </c>
      <c r="H7" s="416" t="s">
        <v>102</v>
      </c>
      <c r="I7" s="416" t="s">
        <v>103</v>
      </c>
      <c r="J7" s="415" t="s">
        <v>104</v>
      </c>
      <c r="K7" s="417" t="s">
        <v>99</v>
      </c>
      <c r="L7" s="418" t="s">
        <v>69</v>
      </c>
      <c r="M7" s="420"/>
      <c r="N7" s="711" t="s">
        <v>2</v>
      </c>
      <c r="O7" s="416" t="s">
        <v>102</v>
      </c>
      <c r="P7" s="416" t="s">
        <v>103</v>
      </c>
      <c r="Q7" s="415" t="s">
        <v>104</v>
      </c>
      <c r="R7" s="417" t="s">
        <v>99</v>
      </c>
      <c r="S7" s="418" t="s">
        <v>69</v>
      </c>
    </row>
    <row r="8" spans="1:19" x14ac:dyDescent="0.2">
      <c r="A8" s="714"/>
      <c r="B8" s="715"/>
      <c r="C8" s="715"/>
      <c r="D8" s="715"/>
      <c r="E8" s="715"/>
      <c r="F8" s="715"/>
      <c r="H8" s="715"/>
      <c r="I8" s="715"/>
      <c r="J8" s="715"/>
      <c r="K8" s="715"/>
      <c r="L8" s="715"/>
      <c r="N8" s="714"/>
      <c r="O8" s="715"/>
      <c r="P8" s="715"/>
      <c r="Q8" s="715"/>
      <c r="R8" s="715"/>
      <c r="S8" s="715"/>
    </row>
    <row r="9" spans="1:19" x14ac:dyDescent="0.2">
      <c r="A9" s="716" t="s">
        <v>299</v>
      </c>
      <c r="B9" s="717"/>
      <c r="C9" s="717"/>
      <c r="D9" s="717"/>
      <c r="E9" s="718"/>
      <c r="F9" s="718">
        <f>+H.2!J46*1000-F13</f>
        <v>0</v>
      </c>
      <c r="H9" s="718">
        <f>IFERROR(B9-O9,"")</f>
        <v>0</v>
      </c>
      <c r="I9" s="718">
        <f>IFERROR(C9-P9,"")</f>
        <v>0</v>
      </c>
      <c r="J9" s="718">
        <f>IFERROR(D9-Q9,"")</f>
        <v>0</v>
      </c>
      <c r="K9" s="718">
        <f>IFERROR(E9-R9,"")</f>
        <v>0</v>
      </c>
      <c r="L9" s="718">
        <f>IFERROR(F9-S9,"")</f>
        <v>0</v>
      </c>
      <c r="N9" s="716" t="s">
        <v>299</v>
      </c>
      <c r="O9" s="717"/>
      <c r="P9" s="717"/>
      <c r="Q9" s="717"/>
      <c r="R9" s="718"/>
      <c r="S9" s="718"/>
    </row>
    <row r="10" spans="1:19" x14ac:dyDescent="0.2">
      <c r="A10" s="719"/>
      <c r="B10" s="720"/>
      <c r="C10" s="720"/>
      <c r="D10" s="720"/>
      <c r="E10" s="721"/>
      <c r="F10" s="722"/>
      <c r="H10" s="720"/>
      <c r="I10" s="720"/>
      <c r="J10" s="720"/>
      <c r="K10" s="721"/>
      <c r="L10" s="722"/>
      <c r="N10" s="719"/>
      <c r="O10" s="720"/>
      <c r="P10" s="720"/>
      <c r="Q10" s="720"/>
      <c r="R10" s="721"/>
      <c r="S10" s="722"/>
    </row>
    <row r="11" spans="1:19" x14ac:dyDescent="0.2">
      <c r="A11" s="723" t="s">
        <v>362</v>
      </c>
      <c r="B11" s="724">
        <v>4855038.3499999996</v>
      </c>
      <c r="C11" s="724">
        <v>4253421.3400000101</v>
      </c>
      <c r="D11" s="724">
        <v>3600838.1800000099</v>
      </c>
      <c r="E11" s="725">
        <v>2749288.7799999984</v>
      </c>
      <c r="F11" s="725">
        <v>2291329.7199999997</v>
      </c>
      <c r="G11"/>
      <c r="H11" s="724">
        <f t="shared" ref="H11:L14" si="0">IFERROR(B11-O11,"")</f>
        <v>0</v>
      </c>
      <c r="I11" s="724">
        <f t="shared" si="0"/>
        <v>0</v>
      </c>
      <c r="J11" s="724">
        <f t="shared" si="0"/>
        <v>0</v>
      </c>
      <c r="K11" s="725">
        <f t="shared" si="0"/>
        <v>0</v>
      </c>
      <c r="L11" s="725">
        <f t="shared" si="0"/>
        <v>0</v>
      </c>
      <c r="N11" s="723" t="s">
        <v>362</v>
      </c>
      <c r="O11" s="724">
        <v>4855038.3499999996</v>
      </c>
      <c r="P11" s="724">
        <v>4253421.3400000101</v>
      </c>
      <c r="Q11" s="724">
        <v>3600838.1800000099</v>
      </c>
      <c r="R11" s="725">
        <v>2749288.7799999984</v>
      </c>
      <c r="S11" s="725">
        <v>2291329.7199999997</v>
      </c>
    </row>
    <row r="12" spans="1:19" x14ac:dyDescent="0.2">
      <c r="A12" s="726" t="s">
        <v>363</v>
      </c>
      <c r="B12" s="644">
        <v>221520.75000000006</v>
      </c>
      <c r="C12" s="644">
        <v>901516.17000000016</v>
      </c>
      <c r="D12" s="644">
        <v>1522144.7700000003</v>
      </c>
      <c r="E12" s="147">
        <v>2514486.0499999998</v>
      </c>
      <c r="F12" s="727">
        <v>2103890.2800000003</v>
      </c>
      <c r="H12" s="644">
        <f t="shared" si="0"/>
        <v>0</v>
      </c>
      <c r="I12" s="644">
        <f t="shared" si="0"/>
        <v>0</v>
      </c>
      <c r="J12" s="644">
        <f t="shared" si="0"/>
        <v>0</v>
      </c>
      <c r="K12" s="147">
        <f t="shared" si="0"/>
        <v>0</v>
      </c>
      <c r="L12" s="727">
        <f t="shared" si="0"/>
        <v>0</v>
      </c>
      <c r="N12" s="726" t="s">
        <v>363</v>
      </c>
      <c r="O12" s="644">
        <v>221520.75000000006</v>
      </c>
      <c r="P12" s="644">
        <v>901516.17000000016</v>
      </c>
      <c r="Q12" s="644">
        <v>1522144.7700000003</v>
      </c>
      <c r="R12" s="147">
        <v>2514486.0499999998</v>
      </c>
      <c r="S12" s="727">
        <v>2103890.2800000003</v>
      </c>
    </row>
    <row r="13" spans="1:19" x14ac:dyDescent="0.2">
      <c r="A13" s="728" t="s">
        <v>364</v>
      </c>
      <c r="B13" s="720"/>
      <c r="C13" s="720"/>
      <c r="D13" s="720"/>
      <c r="E13" s="722">
        <f>H.2!I46*1000</f>
        <v>346492.93610967568</v>
      </c>
      <c r="F13" s="722">
        <f>H.2!J46*1000</f>
        <v>1047479.1070154659</v>
      </c>
      <c r="H13" s="722">
        <f t="shared" si="0"/>
        <v>0</v>
      </c>
      <c r="I13" s="722">
        <f t="shared" si="0"/>
        <v>0</v>
      </c>
      <c r="J13" s="722">
        <f t="shared" si="0"/>
        <v>0</v>
      </c>
      <c r="K13" s="722">
        <f t="shared" si="0"/>
        <v>0</v>
      </c>
      <c r="L13" s="722">
        <f t="shared" si="0"/>
        <v>-72002.688177951379</v>
      </c>
      <c r="N13" s="728" t="s">
        <v>364</v>
      </c>
      <c r="O13" s="720"/>
      <c r="P13" s="720"/>
      <c r="Q13" s="720"/>
      <c r="R13" s="722">
        <v>346492.93610967568</v>
      </c>
      <c r="S13" s="722">
        <v>1119481.7951934172</v>
      </c>
    </row>
    <row r="14" spans="1:19" x14ac:dyDescent="0.2">
      <c r="A14" s="728" t="s">
        <v>365</v>
      </c>
      <c r="B14" s="644">
        <v>-2185</v>
      </c>
      <c r="C14" s="644">
        <v>-100000</v>
      </c>
      <c r="D14" s="147">
        <v>-195500</v>
      </c>
      <c r="E14" s="147">
        <f>D14</f>
        <v>-195500</v>
      </c>
      <c r="F14" s="147">
        <f>+H.2!J59*1000</f>
        <v>-146250</v>
      </c>
      <c r="G14"/>
      <c r="H14" s="644">
        <f t="shared" si="0"/>
        <v>0</v>
      </c>
      <c r="I14" s="644">
        <f t="shared" si="0"/>
        <v>0</v>
      </c>
      <c r="J14" s="147">
        <f t="shared" si="0"/>
        <v>0</v>
      </c>
      <c r="K14" s="147">
        <f t="shared" si="0"/>
        <v>0</v>
      </c>
      <c r="L14" s="147">
        <f t="shared" si="0"/>
        <v>0</v>
      </c>
      <c r="N14" s="728" t="s">
        <v>365</v>
      </c>
      <c r="O14" s="644">
        <v>-2185</v>
      </c>
      <c r="P14" s="644">
        <v>-100000</v>
      </c>
      <c r="Q14" s="147">
        <v>-195500</v>
      </c>
      <c r="R14" s="147">
        <v>-195500</v>
      </c>
      <c r="S14" s="147">
        <v>-146250</v>
      </c>
    </row>
    <row r="15" spans="1:19" x14ac:dyDescent="0.2">
      <c r="A15" s="729"/>
      <c r="B15" s="730"/>
      <c r="C15" s="730"/>
      <c r="D15" s="730"/>
      <c r="E15" s="721"/>
      <c r="F15" s="721"/>
      <c r="H15" s="730"/>
      <c r="I15" s="730"/>
      <c r="J15" s="730"/>
      <c r="K15" s="721"/>
      <c r="L15" s="721"/>
      <c r="N15" s="729"/>
      <c r="O15" s="730"/>
      <c r="P15" s="730"/>
      <c r="Q15" s="730"/>
      <c r="R15" s="721"/>
      <c r="S15" s="721"/>
    </row>
    <row r="16" spans="1:19" x14ac:dyDescent="0.2">
      <c r="A16" s="731" t="s">
        <v>366</v>
      </c>
      <c r="B16" s="732">
        <f t="shared" ref="B16:F16" si="1">SUM(B11:B15)</f>
        <v>5074374.0999999996</v>
      </c>
      <c r="C16" s="732">
        <f t="shared" si="1"/>
        <v>5054937.51000001</v>
      </c>
      <c r="D16" s="732">
        <f t="shared" si="1"/>
        <v>4927482.9500000104</v>
      </c>
      <c r="E16" s="733">
        <f>SUM(E11:E15)</f>
        <v>5414767.7661096742</v>
      </c>
      <c r="F16" s="732">
        <f t="shared" si="1"/>
        <v>5296449.1070154663</v>
      </c>
      <c r="G16"/>
      <c r="H16" s="732">
        <f>IFERROR(B16-O16,"")</f>
        <v>0</v>
      </c>
      <c r="I16" s="732">
        <f>IFERROR(C16-P16,"")</f>
        <v>0</v>
      </c>
      <c r="J16" s="732">
        <f>IFERROR(D16-Q16,"")</f>
        <v>0</v>
      </c>
      <c r="K16" s="733">
        <f>IFERROR(E16-R16,"")</f>
        <v>0</v>
      </c>
      <c r="L16" s="732">
        <f>IFERROR(F16-S16,"")</f>
        <v>-72002.68817795068</v>
      </c>
      <c r="N16" s="731" t="s">
        <v>366</v>
      </c>
      <c r="O16" s="732">
        <v>5074374.0999999996</v>
      </c>
      <c r="P16" s="732">
        <v>5054937.51000001</v>
      </c>
      <c r="Q16" s="732">
        <v>4927482.9500000104</v>
      </c>
      <c r="R16" s="733">
        <v>5414767.7661096742</v>
      </c>
      <c r="S16" s="732">
        <v>5368451.795193417</v>
      </c>
    </row>
    <row r="17" spans="1:19" ht="12" customHeight="1" x14ac:dyDescent="0.2">
      <c r="A17" s="734"/>
      <c r="B17" s="735"/>
      <c r="C17" s="735"/>
      <c r="D17" s="735"/>
      <c r="E17" s="735"/>
      <c r="F17" s="735"/>
      <c r="H17" s="735"/>
      <c r="I17" s="735"/>
      <c r="J17" s="735"/>
      <c r="K17" s="735"/>
      <c r="L17" s="735"/>
      <c r="N17" s="734"/>
      <c r="O17" s="735"/>
      <c r="P17" s="735"/>
      <c r="Q17" s="735"/>
      <c r="R17" s="735"/>
      <c r="S17" s="735"/>
    </row>
    <row r="18" spans="1:19" ht="15.75" customHeight="1" x14ac:dyDescent="0.2">
      <c r="A18" s="736" t="s">
        <v>367</v>
      </c>
      <c r="B18" s="718">
        <f t="shared" ref="B18:E18" si="2">SUM(B9:B14)</f>
        <v>5074374.0999999996</v>
      </c>
      <c r="C18" s="718">
        <f t="shared" si="2"/>
        <v>5054937.51000001</v>
      </c>
      <c r="D18" s="718">
        <f t="shared" si="2"/>
        <v>4927482.9500000104</v>
      </c>
      <c r="E18" s="718">
        <f t="shared" si="2"/>
        <v>5414767.7661096742</v>
      </c>
      <c r="F18" s="718">
        <f>+F9+F16</f>
        <v>5296449.1070154663</v>
      </c>
      <c r="H18" s="718">
        <f>IFERROR(B18-O18,"")</f>
        <v>0</v>
      </c>
      <c r="I18" s="718">
        <f>IFERROR(C18-P18,"")</f>
        <v>0</v>
      </c>
      <c r="J18" s="718">
        <f>IFERROR(D18-Q18,"")</f>
        <v>0</v>
      </c>
      <c r="K18" s="718">
        <f>IFERROR(E18-R18,"")</f>
        <v>0</v>
      </c>
      <c r="L18" s="718">
        <f>IFERROR(F18-S18,"")</f>
        <v>-72002.68817795068</v>
      </c>
      <c r="N18" s="736" t="s">
        <v>367</v>
      </c>
      <c r="O18" s="718">
        <v>5074374.0999999996</v>
      </c>
      <c r="P18" s="718">
        <v>5054937.51000001</v>
      </c>
      <c r="Q18" s="718">
        <v>4927482.9500000104</v>
      </c>
      <c r="R18" s="718">
        <v>5414767.7661096742</v>
      </c>
      <c r="S18" s="718">
        <v>5368451.795193417</v>
      </c>
    </row>
    <row r="19" spans="1:19" x14ac:dyDescent="0.2">
      <c r="A19" s="737"/>
      <c r="B19" s="737"/>
      <c r="C19" s="737"/>
      <c r="D19" s="737"/>
      <c r="E19" s="737"/>
      <c r="F19" s="737"/>
      <c r="H19" s="737"/>
      <c r="I19" s="737"/>
      <c r="J19" s="737"/>
      <c r="K19" s="737"/>
      <c r="L19" s="737"/>
      <c r="N19" s="737"/>
      <c r="O19" s="737"/>
      <c r="P19" s="737"/>
      <c r="Q19" s="737"/>
      <c r="R19" s="737"/>
      <c r="S19" s="737"/>
    </row>
    <row r="20" spans="1:19" outlineLevel="1" x14ac:dyDescent="0.2">
      <c r="A20" s="737"/>
      <c r="B20" s="258"/>
      <c r="C20" s="258"/>
      <c r="D20" s="258"/>
      <c r="E20" s="258"/>
      <c r="F20" s="258"/>
      <c r="H20" s="258"/>
      <c r="I20" s="258"/>
      <c r="J20" s="258"/>
      <c r="K20" s="258"/>
      <c r="L20" s="258"/>
      <c r="N20" s="737"/>
      <c r="O20" s="258"/>
      <c r="P20" s="258"/>
      <c r="Q20" s="258"/>
      <c r="R20" s="258"/>
      <c r="S20" s="258"/>
    </row>
    <row r="21" spans="1:19" outlineLevel="1" x14ac:dyDescent="0.2">
      <c r="A21" s="737"/>
      <c r="B21" s="737"/>
      <c r="C21" s="737"/>
      <c r="D21" s="737"/>
      <c r="E21" s="703"/>
      <c r="F21" s="703">
        <f>+F18-H.2!J61*1000</f>
        <v>0</v>
      </c>
      <c r="H21" s="737"/>
      <c r="I21" s="737"/>
      <c r="J21" s="737"/>
      <c r="K21" s="703"/>
      <c r="L21" s="703"/>
      <c r="N21" s="737"/>
      <c r="O21" s="737"/>
      <c r="P21" s="737"/>
      <c r="Q21" s="737"/>
      <c r="R21" s="703"/>
      <c r="S21" s="703"/>
    </row>
    <row r="23" spans="1:19" ht="18.75" customHeight="1" x14ac:dyDescent="0.2">
      <c r="A23" s="708" t="s">
        <v>368</v>
      </c>
      <c r="B23" s="1556" t="s">
        <v>207</v>
      </c>
      <c r="C23" s="1557"/>
      <c r="D23" s="1558"/>
      <c r="E23" s="614" t="s">
        <v>338</v>
      </c>
      <c r="F23" s="709" t="s">
        <v>209</v>
      </c>
      <c r="H23" s="1556" t="s">
        <v>207</v>
      </c>
      <c r="I23" s="1557"/>
      <c r="J23" s="1558"/>
      <c r="K23" s="614" t="s">
        <v>338</v>
      </c>
      <c r="L23" s="709" t="s">
        <v>209</v>
      </c>
      <c r="N23" s="710" t="s">
        <v>368</v>
      </c>
      <c r="O23" s="1556" t="s">
        <v>207</v>
      </c>
      <c r="P23" s="1557"/>
      <c r="Q23" s="1558"/>
      <c r="R23" s="614" t="s">
        <v>338</v>
      </c>
      <c r="S23" s="709" t="s">
        <v>209</v>
      </c>
    </row>
    <row r="24" spans="1:19" ht="15.75" customHeight="1" x14ac:dyDescent="0.2">
      <c r="A24" s="711" t="s">
        <v>2</v>
      </c>
      <c r="B24" s="712" t="s">
        <v>102</v>
      </c>
      <c r="C24" s="712" t="s">
        <v>103</v>
      </c>
      <c r="D24" s="712" t="s">
        <v>104</v>
      </c>
      <c r="E24" s="617" t="s">
        <v>99</v>
      </c>
      <c r="F24" s="713" t="s">
        <v>69</v>
      </c>
      <c r="H24" s="712" t="s">
        <v>102</v>
      </c>
      <c r="I24" s="712" t="s">
        <v>103</v>
      </c>
      <c r="J24" s="712" t="s">
        <v>104</v>
      </c>
      <c r="K24" s="617" t="s">
        <v>99</v>
      </c>
      <c r="L24" s="713" t="s">
        <v>69</v>
      </c>
      <c r="N24" s="711" t="s">
        <v>2</v>
      </c>
      <c r="O24" s="712" t="s">
        <v>102</v>
      </c>
      <c r="P24" s="712" t="s">
        <v>103</v>
      </c>
      <c r="Q24" s="712" t="s">
        <v>104</v>
      </c>
      <c r="R24" s="617" t="s">
        <v>99</v>
      </c>
      <c r="S24" s="713" t="s">
        <v>69</v>
      </c>
    </row>
    <row r="25" spans="1:19" x14ac:dyDescent="0.2">
      <c r="A25" s="714"/>
      <c r="B25" s="715"/>
      <c r="C25" s="715"/>
      <c r="D25" s="715"/>
      <c r="E25" s="715"/>
      <c r="F25" s="715"/>
      <c r="H25" s="715"/>
      <c r="I25" s="715"/>
      <c r="J25" s="715"/>
      <c r="K25" s="715"/>
      <c r="L25" s="715"/>
      <c r="N25" s="714"/>
      <c r="O25" s="715"/>
      <c r="P25" s="715"/>
      <c r="Q25" s="715"/>
      <c r="R25" s="715"/>
      <c r="S25" s="715"/>
    </row>
    <row r="26" spans="1:19" x14ac:dyDescent="0.2">
      <c r="A26" s="716" t="s">
        <v>299</v>
      </c>
      <c r="B26" s="717"/>
      <c r="C26" s="717"/>
      <c r="D26" s="717"/>
      <c r="E26" s="718"/>
      <c r="F26" s="738">
        <f>+H.3!F21-H.3!E21/H.3!E5</f>
        <v>300550</v>
      </c>
      <c r="H26" s="718">
        <f>IFERROR(B26-O26,"")</f>
        <v>0</v>
      </c>
      <c r="I26" s="718">
        <f>IFERROR(C26-P26,"")</f>
        <v>0</v>
      </c>
      <c r="J26" s="718">
        <f>IFERROR(D26-Q26,"")</f>
        <v>0</v>
      </c>
      <c r="K26" s="718">
        <f>IFERROR(E26-R26,"")</f>
        <v>0</v>
      </c>
      <c r="L26" s="738">
        <f>IFERROR(F26-S26,"")</f>
        <v>1.1641532182693481E-10</v>
      </c>
      <c r="N26" s="716" t="s">
        <v>299</v>
      </c>
      <c r="O26" s="717"/>
      <c r="P26" s="717"/>
      <c r="Q26" s="717"/>
      <c r="R26" s="718"/>
      <c r="S26" s="738">
        <v>300549.99999999988</v>
      </c>
    </row>
    <row r="27" spans="1:19" x14ac:dyDescent="0.2">
      <c r="A27" s="719"/>
      <c r="B27" s="720"/>
      <c r="C27" s="720"/>
      <c r="D27" s="720"/>
      <c r="E27" s="721"/>
      <c r="F27" s="727"/>
      <c r="H27" s="720"/>
      <c r="I27" s="720"/>
      <c r="J27" s="720"/>
      <c r="K27" s="721"/>
      <c r="L27" s="727"/>
      <c r="N27" s="719"/>
      <c r="O27" s="720"/>
      <c r="P27" s="720"/>
      <c r="Q27" s="720"/>
      <c r="R27" s="721"/>
      <c r="S27" s="727"/>
    </row>
    <row r="28" spans="1:19" x14ac:dyDescent="0.2">
      <c r="A28" s="723" t="s">
        <v>369</v>
      </c>
      <c r="B28" s="724">
        <v>1499426.9099999995</v>
      </c>
      <c r="C28" s="724">
        <v>1245390.5699999996</v>
      </c>
      <c r="D28" s="724">
        <v>1127695.9500000002</v>
      </c>
      <c r="E28" s="725">
        <v>1018542.8700000009</v>
      </c>
      <c r="F28" s="739">
        <v>806354.58000000054</v>
      </c>
      <c r="H28" s="724">
        <f t="shared" ref="H28:L30" si="3">IFERROR(B28-O28,"")</f>
        <v>416434.3899999992</v>
      </c>
      <c r="I28" s="724">
        <f t="shared" si="3"/>
        <v>414638.04999999923</v>
      </c>
      <c r="J28" s="724">
        <f t="shared" si="3"/>
        <v>415430.46999999939</v>
      </c>
      <c r="K28" s="725">
        <f t="shared" si="3"/>
        <v>424764.4299999997</v>
      </c>
      <c r="L28" s="739">
        <f t="shared" si="3"/>
        <v>331063.17999999889</v>
      </c>
      <c r="N28" s="723" t="s">
        <v>369</v>
      </c>
      <c r="O28" s="724">
        <v>1082992.5200000003</v>
      </c>
      <c r="P28" s="724">
        <v>830752.52000000037</v>
      </c>
      <c r="Q28" s="724">
        <v>712265.4800000008</v>
      </c>
      <c r="R28" s="725">
        <v>593778.44000000122</v>
      </c>
      <c r="S28" s="739">
        <v>475291.40000000165</v>
      </c>
    </row>
    <row r="29" spans="1:19" x14ac:dyDescent="0.2">
      <c r="A29" s="726" t="s">
        <v>370</v>
      </c>
      <c r="B29" s="644">
        <v>14968.79</v>
      </c>
      <c r="C29" s="644">
        <v>68302.61</v>
      </c>
      <c r="D29" s="644">
        <v>117381.37000000001</v>
      </c>
      <c r="E29" s="644">
        <f>+H.3!E31-H.1!E28</f>
        <v>121125.68999999913</v>
      </c>
      <c r="F29" s="722">
        <f>H.3!F31-H.1!F28</f>
        <v>121125.68999999948</v>
      </c>
      <c r="H29" s="644">
        <f t="shared" si="3"/>
        <v>-416434.39000000007</v>
      </c>
      <c r="I29" s="644">
        <f t="shared" si="3"/>
        <v>-414638.05000000005</v>
      </c>
      <c r="J29" s="644">
        <f t="shared" si="3"/>
        <v>-415430.47</v>
      </c>
      <c r="K29" s="644">
        <f t="shared" si="3"/>
        <v>-424764.4299999997</v>
      </c>
      <c r="L29" s="722">
        <f t="shared" si="3"/>
        <v>-331063.17999999889</v>
      </c>
      <c r="N29" s="726" t="s">
        <v>370</v>
      </c>
      <c r="O29" s="644">
        <v>431403.18000000005</v>
      </c>
      <c r="P29" s="644">
        <v>482940.66000000003</v>
      </c>
      <c r="Q29" s="644">
        <v>532811.84</v>
      </c>
      <c r="R29" s="644">
        <v>545890.11999999883</v>
      </c>
      <c r="S29" s="722">
        <v>452188.86999999837</v>
      </c>
    </row>
    <row r="30" spans="1:19" x14ac:dyDescent="0.2">
      <c r="A30" s="723" t="s">
        <v>371</v>
      </c>
      <c r="B30" s="720"/>
      <c r="C30" s="720"/>
      <c r="D30" s="720"/>
      <c r="E30" s="722">
        <f>+H.3!E21</f>
        <v>587929.24249999993</v>
      </c>
      <c r="F30" s="722">
        <f>+H.3!E21/H.3!E5</f>
        <v>1175858.4849999999</v>
      </c>
      <c r="H30" s="722">
        <f t="shared" si="3"/>
        <v>0</v>
      </c>
      <c r="I30" s="722">
        <f t="shared" si="3"/>
        <v>0</v>
      </c>
      <c r="J30" s="722">
        <f t="shared" si="3"/>
        <v>0</v>
      </c>
      <c r="K30" s="722">
        <f t="shared" si="3"/>
        <v>158749.99999999994</v>
      </c>
      <c r="L30" s="722">
        <f t="shared" si="3"/>
        <v>317499.99999999988</v>
      </c>
      <c r="N30" s="723" t="s">
        <v>372</v>
      </c>
      <c r="O30" s="722"/>
      <c r="P30" s="722"/>
      <c r="Q30" s="722"/>
      <c r="R30" s="722">
        <v>429179.24249999999</v>
      </c>
      <c r="S30" s="722">
        <v>858358.48499999999</v>
      </c>
    </row>
    <row r="31" spans="1:19" x14ac:dyDescent="0.2">
      <c r="A31" s="740"/>
      <c r="B31" s="741"/>
      <c r="C31" s="741"/>
      <c r="D31" s="741"/>
      <c r="E31" s="741"/>
      <c r="F31" s="741"/>
      <c r="H31" s="741"/>
      <c r="I31" s="741"/>
      <c r="J31" s="741"/>
      <c r="K31" s="741"/>
      <c r="L31" s="741"/>
      <c r="N31" s="740"/>
      <c r="O31" s="741"/>
      <c r="P31" s="741"/>
      <c r="Q31" s="741"/>
      <c r="R31" s="741"/>
      <c r="S31" s="741"/>
    </row>
    <row r="32" spans="1:19" x14ac:dyDescent="0.2">
      <c r="A32" s="729"/>
      <c r="B32" s="730"/>
      <c r="C32" s="730"/>
      <c r="D32" s="730"/>
      <c r="E32" s="721"/>
      <c r="F32" s="721"/>
      <c r="H32" s="730"/>
      <c r="I32" s="730"/>
      <c r="J32" s="730"/>
      <c r="K32" s="721"/>
      <c r="L32" s="721"/>
      <c r="N32" s="729"/>
      <c r="O32" s="730"/>
      <c r="P32" s="730"/>
      <c r="Q32" s="730"/>
      <c r="R32" s="721"/>
      <c r="S32" s="721"/>
    </row>
    <row r="33" spans="1:19" x14ac:dyDescent="0.2">
      <c r="A33" s="731" t="s">
        <v>373</v>
      </c>
      <c r="B33" s="732">
        <f t="shared" ref="B33:F33" si="4">SUM(B28:B32)</f>
        <v>1514395.6999999995</v>
      </c>
      <c r="C33" s="732">
        <f t="shared" si="4"/>
        <v>1313693.1799999997</v>
      </c>
      <c r="D33" s="732">
        <f t="shared" si="4"/>
        <v>1245077.3200000003</v>
      </c>
      <c r="E33" s="742">
        <f t="shared" si="4"/>
        <v>1727597.8025</v>
      </c>
      <c r="F33" s="732">
        <f t="shared" si="4"/>
        <v>2103338.7549999999</v>
      </c>
      <c r="H33" s="732">
        <f>IFERROR(B33-O33,"")</f>
        <v>-6.9849193096160889E-10</v>
      </c>
      <c r="I33" s="732">
        <f>IFERROR(C33-P33,"")</f>
        <v>-6.9849193096160889E-10</v>
      </c>
      <c r="J33" s="732">
        <f>IFERROR(D33-Q33,"")</f>
        <v>-4.6566128730773926E-10</v>
      </c>
      <c r="K33" s="742">
        <f>IFERROR(E33-R33,"")</f>
        <v>158750</v>
      </c>
      <c r="L33" s="732">
        <f>IFERROR(F33-S33,"")</f>
        <v>317500</v>
      </c>
      <c r="N33" s="731" t="s">
        <v>373</v>
      </c>
      <c r="O33" s="732">
        <v>1514395.7000000002</v>
      </c>
      <c r="P33" s="732">
        <v>1313693.1800000004</v>
      </c>
      <c r="Q33" s="732">
        <v>1245077.3200000008</v>
      </c>
      <c r="R33" s="742">
        <v>1568847.8025</v>
      </c>
      <c r="S33" s="732">
        <v>1785838.7549999999</v>
      </c>
    </row>
    <row r="34" spans="1:19" x14ac:dyDescent="0.2">
      <c r="A34" s="734"/>
      <c r="B34" s="735"/>
      <c r="C34" s="735"/>
      <c r="D34" s="735"/>
      <c r="E34" s="735"/>
      <c r="F34" s="735"/>
      <c r="H34" s="735"/>
      <c r="I34" s="735"/>
      <c r="J34" s="735"/>
      <c r="K34" s="735"/>
      <c r="L34" s="735"/>
      <c r="N34" s="734"/>
      <c r="O34" s="735"/>
      <c r="P34" s="735"/>
      <c r="Q34" s="735"/>
      <c r="R34" s="735"/>
      <c r="S34" s="735"/>
    </row>
    <row r="35" spans="1:19" x14ac:dyDescent="0.2">
      <c r="A35" s="736" t="s">
        <v>374</v>
      </c>
      <c r="B35" s="718">
        <f t="shared" ref="B35:E35" si="5">SUM(B26:B31)</f>
        <v>1514395.6999999995</v>
      </c>
      <c r="C35" s="718">
        <f t="shared" si="5"/>
        <v>1313693.1799999997</v>
      </c>
      <c r="D35" s="718">
        <f t="shared" si="5"/>
        <v>1245077.3200000003</v>
      </c>
      <c r="E35" s="718">
        <f t="shared" si="5"/>
        <v>1727597.8025</v>
      </c>
      <c r="F35" s="718">
        <f>+F26+F33</f>
        <v>2403888.7549999999</v>
      </c>
      <c r="H35" s="718">
        <f>IFERROR(B35-O35,"")</f>
        <v>-6.9849193096160889E-10</v>
      </c>
      <c r="I35" s="718">
        <f>IFERROR(C35-P35,"")</f>
        <v>-6.9849193096160889E-10</v>
      </c>
      <c r="J35" s="718">
        <f>IFERROR(D35-Q35,"")</f>
        <v>-4.6566128730773926E-10</v>
      </c>
      <c r="K35" s="718">
        <f>IFERROR(E35-R35,"")</f>
        <v>158750</v>
      </c>
      <c r="L35" s="718">
        <f>IFERROR(F35-S35,"")</f>
        <v>317500</v>
      </c>
      <c r="N35" s="736" t="s">
        <v>374</v>
      </c>
      <c r="O35" s="718">
        <v>1514395.7000000002</v>
      </c>
      <c r="P35" s="718">
        <v>1313693.1800000004</v>
      </c>
      <c r="Q35" s="718">
        <v>1245077.3200000008</v>
      </c>
      <c r="R35" s="718">
        <v>1568847.8025</v>
      </c>
      <c r="S35" s="718">
        <v>2086388.7549999999</v>
      </c>
    </row>
    <row r="36" spans="1:19" x14ac:dyDescent="0.2">
      <c r="C36" s="258"/>
      <c r="D36" s="258"/>
    </row>
  </sheetData>
  <mergeCells count="8">
    <mergeCell ref="B23:D23"/>
    <mergeCell ref="H23:J23"/>
    <mergeCell ref="O23:Q23"/>
    <mergeCell ref="H4:L5"/>
    <mergeCell ref="N4:S5"/>
    <mergeCell ref="B6:D6"/>
    <mergeCell ref="H6:J6"/>
    <mergeCell ref="O6:Q6"/>
  </mergeCells>
  <pageMargins left="1" right="0.75" top="0.75" bottom="0.5" header="0.5" footer="0.5"/>
  <pageSetup orientation="landscape" r:id="rId1"/>
  <headerFooter>
    <oddFooter>&amp;L&amp;KFF0000Final Rate Application&amp;CPage &amp;P of &amp;N&amp;R02/10/2017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</sheetPr>
  <dimension ref="A1:AF76"/>
  <sheetViews>
    <sheetView showOutlineSymbols="0" zoomScaleNormal="100" workbookViewId="0"/>
  </sheetViews>
  <sheetFormatPr defaultRowHeight="12.75" outlineLevelRow="1" outlineLevelCol="2" x14ac:dyDescent="0.2"/>
  <cols>
    <col min="1" max="1" width="40.7109375" style="12" customWidth="1"/>
    <col min="2" max="4" width="13.85546875" style="12" customWidth="1"/>
    <col min="5" max="5" width="13.85546875" style="258" customWidth="1"/>
    <col min="6" max="10" width="13.85546875" style="12" customWidth="1"/>
    <col min="11" max="11" width="2" style="12" customWidth="1" outlineLevel="2"/>
    <col min="12" max="12" width="1.7109375" style="12" customWidth="1"/>
    <col min="13" max="21" width="9.140625" style="12"/>
    <col min="22" max="22" width="2" style="12" customWidth="1"/>
    <col min="23" max="23" width="44.28515625" style="12" bestFit="1" customWidth="1"/>
    <col min="24" max="24" width="9.7109375" style="12" bestFit="1" customWidth="1"/>
    <col min="25" max="25" width="6.85546875" style="12" bestFit="1" customWidth="1"/>
    <col min="26" max="26" width="7.140625" style="12" bestFit="1" customWidth="1"/>
    <col min="27" max="27" width="9.7109375" style="12" bestFit="1" customWidth="1"/>
    <col min="28" max="28" width="6.85546875" style="12" bestFit="1" customWidth="1"/>
    <col min="29" max="29" width="21.85546875" style="12" bestFit="1" customWidth="1"/>
    <col min="30" max="30" width="7" style="12" bestFit="1" customWidth="1"/>
    <col min="31" max="31" width="9.140625" style="12"/>
    <col min="32" max="32" width="8" style="12" bestFit="1" customWidth="1"/>
    <col min="33" max="16384" width="9.140625" style="12"/>
  </cols>
  <sheetData>
    <row r="1" spans="1:32" ht="12.6" customHeight="1" x14ac:dyDescent="0.2">
      <c r="A1" s="112" t="str">
        <f>B!$A$2</f>
        <v>Recology San Francisco</v>
      </c>
    </row>
    <row r="2" spans="1:32" ht="12.6" customHeight="1" x14ac:dyDescent="0.2">
      <c r="A2" s="436" t="s">
        <v>375</v>
      </c>
      <c r="B2" s="258"/>
      <c r="C2" s="258"/>
      <c r="D2" s="258"/>
      <c r="F2" s="258"/>
      <c r="G2" s="258"/>
      <c r="H2" s="258"/>
      <c r="I2" s="258"/>
      <c r="J2" s="258"/>
    </row>
    <row r="3" spans="1:32" ht="12.6" customHeight="1" x14ac:dyDescent="0.2">
      <c r="A3" s="265" t="s">
        <v>32</v>
      </c>
      <c r="B3" s="258"/>
      <c r="C3" s="258"/>
      <c r="D3" s="258"/>
      <c r="F3" s="258"/>
      <c r="G3" s="258"/>
      <c r="H3" s="258"/>
      <c r="I3" s="258"/>
      <c r="J3" s="258"/>
      <c r="M3" s="1522" t="s">
        <v>74</v>
      </c>
      <c r="N3" s="1523"/>
      <c r="O3" s="1523"/>
      <c r="P3" s="1523"/>
      <c r="Q3" s="1523"/>
      <c r="R3" s="1523"/>
      <c r="S3" s="1523"/>
      <c r="T3" s="1523"/>
      <c r="U3" s="1524"/>
      <c r="W3" s="1497" t="s">
        <v>75</v>
      </c>
      <c r="X3" s="1498"/>
      <c r="Y3" s="1498"/>
      <c r="Z3" s="1498"/>
      <c r="AA3" s="1498"/>
      <c r="AB3" s="1498"/>
      <c r="AC3" s="1498"/>
      <c r="AD3" s="1498"/>
      <c r="AE3" s="1498"/>
      <c r="AF3" s="1499"/>
    </row>
    <row r="4" spans="1:32" ht="12.75" customHeight="1" x14ac:dyDescent="0.2">
      <c r="A4" s="747" t="s">
        <v>376</v>
      </c>
      <c r="K4" s="744"/>
      <c r="M4" s="1531"/>
      <c r="N4" s="1527"/>
      <c r="O4" s="1527"/>
      <c r="P4" s="1527"/>
      <c r="Q4" s="1527"/>
      <c r="R4" s="1527"/>
      <c r="S4" s="1527"/>
      <c r="T4" s="1527"/>
      <c r="U4" s="1528"/>
      <c r="W4" s="1529"/>
      <c r="X4" s="1502"/>
      <c r="Y4" s="1502"/>
      <c r="Z4" s="1502"/>
      <c r="AA4" s="1502"/>
      <c r="AB4" s="1502"/>
      <c r="AC4" s="1502"/>
      <c r="AD4" s="1502"/>
      <c r="AE4" s="1502"/>
      <c r="AF4" s="1503"/>
    </row>
    <row r="5" spans="1:32" ht="12.75" hidden="1" customHeight="1" outlineLevel="1" x14ac:dyDescent="0.2">
      <c r="H5" s="748" t="s">
        <v>377</v>
      </c>
      <c r="I5" s="748"/>
      <c r="J5" s="748"/>
      <c r="K5" s="1454">
        <v>1</v>
      </c>
      <c r="M5" s="749"/>
      <c r="N5" s="750"/>
      <c r="O5" s="750"/>
      <c r="P5" s="750"/>
      <c r="Q5" s="750"/>
      <c r="R5" s="750"/>
      <c r="S5" s="750"/>
      <c r="T5" s="750"/>
      <c r="U5" s="751"/>
      <c r="W5" s="752"/>
      <c r="X5" s="753"/>
      <c r="Y5" s="753"/>
      <c r="Z5" s="753"/>
      <c r="AA5" s="753"/>
      <c r="AB5" s="754"/>
    </row>
    <row r="6" spans="1:32" collapsed="1" x14ac:dyDescent="0.2">
      <c r="A6" s="349"/>
      <c r="B6" s="755"/>
      <c r="C6" s="146"/>
      <c r="D6" s="146"/>
      <c r="E6" s="146"/>
      <c r="G6" s="1573" t="s">
        <v>378</v>
      </c>
      <c r="H6" s="1574"/>
      <c r="I6" s="1574"/>
      <c r="J6" s="1575"/>
      <c r="K6" s="1454">
        <f>+K5+1</f>
        <v>2</v>
      </c>
      <c r="M6" s="756"/>
      <c r="N6" s="146"/>
      <c r="O6" s="146"/>
      <c r="P6" s="146"/>
      <c r="Q6" s="407"/>
      <c r="R6" s="1576" t="s">
        <v>378</v>
      </c>
      <c r="S6" s="1577"/>
      <c r="T6" s="1577"/>
      <c r="U6" s="1578"/>
      <c r="W6" s="757"/>
      <c r="X6" s="758"/>
      <c r="Y6" s="172"/>
      <c r="Z6" s="172"/>
      <c r="AA6" s="172"/>
      <c r="AB6" s="759"/>
      <c r="AC6" s="1573" t="s">
        <v>378</v>
      </c>
      <c r="AD6" s="1574"/>
      <c r="AE6" s="1574"/>
      <c r="AF6" s="1575"/>
    </row>
    <row r="7" spans="1:32" ht="15" x14ac:dyDescent="0.35">
      <c r="A7" s="760"/>
      <c r="B7" s="755"/>
      <c r="C7" s="146"/>
      <c r="D7" s="146"/>
      <c r="E7" s="146"/>
      <c r="G7" s="761"/>
      <c r="H7" s="762" t="s">
        <v>379</v>
      </c>
      <c r="I7" s="763"/>
      <c r="J7" s="764"/>
      <c r="K7" s="1454">
        <f>+K6+1</f>
        <v>3</v>
      </c>
      <c r="M7" s="756"/>
      <c r="N7" s="146"/>
      <c r="O7" s="146"/>
      <c r="P7" s="146"/>
      <c r="Q7" s="407"/>
      <c r="R7" s="761"/>
      <c r="S7" s="762" t="s">
        <v>379</v>
      </c>
      <c r="T7" s="763"/>
      <c r="U7" s="764"/>
      <c r="W7" s="765"/>
      <c r="X7" s="755"/>
      <c r="Y7" s="146"/>
      <c r="Z7" s="146"/>
      <c r="AA7" s="146"/>
      <c r="AB7" s="766"/>
      <c r="AC7" s="761"/>
      <c r="AD7" s="762" t="s">
        <v>379</v>
      </c>
      <c r="AE7" s="763"/>
      <c r="AF7" s="764"/>
    </row>
    <row r="8" spans="1:32" x14ac:dyDescent="0.2">
      <c r="A8" s="760"/>
      <c r="B8" s="767"/>
      <c r="C8" s="146"/>
      <c r="D8" s="146"/>
      <c r="E8" s="146"/>
      <c r="G8" s="765" t="s">
        <v>380</v>
      </c>
      <c r="H8" s="768">
        <v>1.3333831144065099E-2</v>
      </c>
      <c r="I8" s="768"/>
      <c r="J8" s="769"/>
      <c r="K8" s="1454">
        <f>+K7+1</f>
        <v>4</v>
      </c>
      <c r="M8" s="622"/>
      <c r="N8" s="146"/>
      <c r="O8" s="146"/>
      <c r="P8" s="146"/>
      <c r="Q8" s="407"/>
      <c r="R8" s="765" t="s">
        <v>380</v>
      </c>
      <c r="S8" s="768">
        <v>1.3333831144065099E-2</v>
      </c>
      <c r="T8" s="768"/>
      <c r="U8" s="769"/>
      <c r="W8" s="765"/>
      <c r="X8" s="767"/>
      <c r="Y8" s="146"/>
      <c r="Z8" s="146"/>
      <c r="AA8" s="146"/>
      <c r="AB8" s="766"/>
      <c r="AC8" s="765" t="s">
        <v>380</v>
      </c>
      <c r="AD8" s="768">
        <v>1.3333831144065099E-2</v>
      </c>
      <c r="AE8" s="768"/>
      <c r="AF8" s="769"/>
    </row>
    <row r="9" spans="1:32" x14ac:dyDescent="0.2">
      <c r="A9" s="770"/>
      <c r="B9" s="770"/>
      <c r="C9" s="146"/>
      <c r="D9" s="146"/>
      <c r="E9" s="146"/>
      <c r="G9" s="765" t="s">
        <v>381</v>
      </c>
      <c r="H9" s="768">
        <f>+H8*12</f>
        <v>0.1600059737287812</v>
      </c>
      <c r="I9" s="768"/>
      <c r="J9" s="769"/>
      <c r="K9" s="1454">
        <f>+K8+1</f>
        <v>5</v>
      </c>
      <c r="M9" s="771"/>
      <c r="N9" s="146"/>
      <c r="O9" s="146"/>
      <c r="P9" s="146"/>
      <c r="Q9" s="407"/>
      <c r="R9" s="765" t="s">
        <v>381</v>
      </c>
      <c r="S9" s="768">
        <f>+S8*12</f>
        <v>0.1600059737287812</v>
      </c>
      <c r="T9" s="768"/>
      <c r="U9" s="769"/>
      <c r="W9" s="771"/>
      <c r="X9" s="770"/>
      <c r="Y9" s="146"/>
      <c r="Z9" s="146"/>
      <c r="AA9" s="146"/>
      <c r="AB9" s="766"/>
      <c r="AC9" s="765" t="s">
        <v>381</v>
      </c>
      <c r="AD9" s="768">
        <v>0.1600059737287812</v>
      </c>
      <c r="AE9" s="768"/>
      <c r="AF9" s="769"/>
    </row>
    <row r="10" spans="1:32" ht="4.5" customHeight="1" x14ac:dyDescent="0.2">
      <c r="A10" s="770"/>
      <c r="B10" s="770"/>
      <c r="C10" s="146"/>
      <c r="D10" s="146"/>
      <c r="E10" s="146"/>
      <c r="G10" s="645"/>
      <c r="H10" s="772"/>
      <c r="I10" s="772"/>
      <c r="J10" s="773"/>
      <c r="M10" s="771"/>
      <c r="N10" s="146"/>
      <c r="O10" s="146"/>
      <c r="P10" s="146"/>
      <c r="Q10" s="407"/>
      <c r="R10" s="645"/>
      <c r="S10" s="772"/>
      <c r="T10" s="772"/>
      <c r="U10" s="773"/>
      <c r="W10" s="771"/>
      <c r="X10" s="770"/>
      <c r="Y10" s="146"/>
      <c r="Z10" s="146"/>
      <c r="AA10" s="146"/>
      <c r="AB10" s="766"/>
      <c r="AC10" s="645"/>
      <c r="AD10" s="772"/>
      <c r="AE10" s="772"/>
      <c r="AF10" s="773"/>
    </row>
    <row r="11" spans="1:32" ht="17.25" customHeight="1" x14ac:dyDescent="0.2">
      <c r="A11" s="770"/>
      <c r="B11" s="774"/>
      <c r="C11" s="775"/>
      <c r="D11" s="775"/>
      <c r="E11" s="775"/>
      <c r="G11" s="776" t="s">
        <v>382</v>
      </c>
      <c r="H11" s="777"/>
      <c r="I11" s="778">
        <v>0.5</v>
      </c>
      <c r="J11" s="779">
        <f>+I11</f>
        <v>0.5</v>
      </c>
      <c r="K11" s="407"/>
      <c r="M11" s="780"/>
      <c r="N11" s="774"/>
      <c r="O11" s="774"/>
      <c r="P11" s="774"/>
      <c r="Q11" s="781"/>
      <c r="R11" s="776" t="s">
        <v>382</v>
      </c>
      <c r="S11" s="777"/>
      <c r="T11" s="778">
        <v>0.5</v>
      </c>
      <c r="U11" s="779">
        <f>+T11</f>
        <v>0.5</v>
      </c>
      <c r="W11" s="771"/>
      <c r="X11" s="774"/>
      <c r="Y11" s="774"/>
      <c r="Z11" s="774"/>
      <c r="AA11" s="774"/>
      <c r="AB11" s="782"/>
      <c r="AC11" s="776" t="s">
        <v>382</v>
      </c>
      <c r="AD11" s="777"/>
      <c r="AE11" s="778">
        <v>0.5</v>
      </c>
      <c r="AF11" s="779">
        <v>0.5</v>
      </c>
    </row>
    <row r="12" spans="1:32" ht="15" customHeight="1" x14ac:dyDescent="0.2">
      <c r="A12" s="770"/>
      <c r="B12" s="1568" t="s">
        <v>99</v>
      </c>
      <c r="C12" s="1569"/>
      <c r="D12" s="1570"/>
      <c r="E12" s="1571" t="s">
        <v>69</v>
      </c>
      <c r="F12" s="1572"/>
      <c r="G12" s="1567"/>
      <c r="H12" s="1559" t="s">
        <v>383</v>
      </c>
      <c r="I12" s="1560"/>
      <c r="J12" s="1561"/>
      <c r="K12" s="325"/>
      <c r="M12" s="1568" t="s">
        <v>99</v>
      </c>
      <c r="N12" s="1569"/>
      <c r="O12" s="1570"/>
      <c r="P12" s="1571" t="s">
        <v>69</v>
      </c>
      <c r="Q12" s="1572"/>
      <c r="R12" s="1567"/>
      <c r="S12" s="1559" t="s">
        <v>383</v>
      </c>
      <c r="T12" s="1560"/>
      <c r="U12" s="1561"/>
      <c r="W12" s="783"/>
      <c r="X12" s="1562" t="s">
        <v>99</v>
      </c>
      <c r="Y12" s="1563"/>
      <c r="Z12" s="1564"/>
      <c r="AA12" s="1565" t="s">
        <v>69</v>
      </c>
      <c r="AB12" s="1566"/>
      <c r="AC12" s="1567"/>
      <c r="AD12" s="1559" t="s">
        <v>383</v>
      </c>
      <c r="AE12" s="1560"/>
      <c r="AF12" s="1561"/>
    </row>
    <row r="13" spans="1:32" ht="15" customHeight="1" x14ac:dyDescent="0.2">
      <c r="A13" s="784"/>
      <c r="B13" s="785" t="s">
        <v>384</v>
      </c>
      <c r="C13" s="785" t="s">
        <v>385</v>
      </c>
      <c r="D13" s="786" t="s">
        <v>386</v>
      </c>
      <c r="E13" s="787" t="s">
        <v>384</v>
      </c>
      <c r="F13" s="788" t="s">
        <v>385</v>
      </c>
      <c r="G13" s="789" t="s">
        <v>386</v>
      </c>
      <c r="H13" s="790" t="s">
        <v>387</v>
      </c>
      <c r="I13" s="790" t="s">
        <v>99</v>
      </c>
      <c r="J13" s="791" t="s">
        <v>69</v>
      </c>
      <c r="K13" s="126"/>
      <c r="M13" s="785" t="s">
        <v>384</v>
      </c>
      <c r="N13" s="785" t="s">
        <v>385</v>
      </c>
      <c r="O13" s="786" t="s">
        <v>386</v>
      </c>
      <c r="P13" s="787" t="s">
        <v>384</v>
      </c>
      <c r="Q13" s="788" t="s">
        <v>385</v>
      </c>
      <c r="R13" s="789" t="s">
        <v>386</v>
      </c>
      <c r="S13" s="790" t="s">
        <v>387</v>
      </c>
      <c r="T13" s="790" t="s">
        <v>99</v>
      </c>
      <c r="U13" s="791" t="s">
        <v>69</v>
      </c>
      <c r="W13" s="784"/>
      <c r="X13" s="785" t="s">
        <v>384</v>
      </c>
      <c r="Y13" s="785" t="s">
        <v>385</v>
      </c>
      <c r="Z13" s="786" t="s">
        <v>386</v>
      </c>
      <c r="AA13" s="787" t="s">
        <v>384</v>
      </c>
      <c r="AB13" s="788" t="s">
        <v>385</v>
      </c>
      <c r="AC13" s="789" t="s">
        <v>386</v>
      </c>
      <c r="AD13" s="790" t="s">
        <v>387</v>
      </c>
      <c r="AE13" s="790" t="s">
        <v>99</v>
      </c>
      <c r="AF13" s="791" t="s">
        <v>69</v>
      </c>
    </row>
    <row r="14" spans="1:32" x14ac:dyDescent="0.2">
      <c r="A14" s="645" t="s">
        <v>388</v>
      </c>
      <c r="B14" s="792"/>
      <c r="C14" s="792"/>
      <c r="D14" s="792"/>
      <c r="E14" s="792"/>
      <c r="F14" s="792"/>
      <c r="G14" s="792"/>
      <c r="H14" s="365"/>
      <c r="I14" s="365"/>
      <c r="J14" s="792"/>
      <c r="K14" s="755"/>
      <c r="M14" s="792"/>
      <c r="N14" s="792"/>
      <c r="O14" s="792"/>
      <c r="P14" s="792"/>
      <c r="Q14" s="792"/>
      <c r="R14" s="792"/>
      <c r="S14" s="365"/>
      <c r="T14" s="365"/>
      <c r="U14" s="792"/>
      <c r="W14" s="645" t="s">
        <v>388</v>
      </c>
      <c r="X14" s="792"/>
      <c r="Y14" s="792"/>
      <c r="Z14" s="792"/>
      <c r="AA14" s="792"/>
      <c r="AB14" s="792"/>
      <c r="AC14" s="792"/>
      <c r="AD14" s="365"/>
      <c r="AE14" s="365"/>
      <c r="AF14" s="792"/>
    </row>
    <row r="15" spans="1:32" x14ac:dyDescent="0.2">
      <c r="A15" s="283" t="s">
        <v>389</v>
      </c>
      <c r="B15" s="793">
        <v>0</v>
      </c>
      <c r="C15" s="326">
        <v>659</v>
      </c>
      <c r="D15" s="794">
        <f>+C15*B15</f>
        <v>0</v>
      </c>
      <c r="E15" s="795">
        <v>1</v>
      </c>
      <c r="F15" s="796">
        <f>C15</f>
        <v>659</v>
      </c>
      <c r="G15" s="326">
        <f t="shared" ref="G15:G41" si="0">+F15*E15</f>
        <v>659</v>
      </c>
      <c r="H15" s="797" t="s">
        <v>377</v>
      </c>
      <c r="I15" s="796">
        <f t="shared" ref="I15:I43" si="1">D15*HLOOKUP($H15,$H$5:$K$9,$K$9,0)*$I$11</f>
        <v>0</v>
      </c>
      <c r="J15" s="326">
        <f>G15*HLOOKUP($H15,$H$5:$K$9,$K$9,0)*$J$11+$I15/$I$11</f>
        <v>52.721968343633407</v>
      </c>
      <c r="K15" s="755"/>
      <c r="M15" s="793">
        <f t="shared" ref="M15:M44" si="2">IFERROR(B15-X15,"")</f>
        <v>0</v>
      </c>
      <c r="N15" s="326">
        <f t="shared" ref="N15:N44" si="3">IFERROR(C15-Y15,"")</f>
        <v>0</v>
      </c>
      <c r="O15" s="794">
        <f t="shared" ref="O15:O44" si="4">IFERROR(D15-Z15,"")</f>
        <v>0</v>
      </c>
      <c r="P15" s="795">
        <f t="shared" ref="P15:P44" si="5">IFERROR(E15-AA15,"")</f>
        <v>0</v>
      </c>
      <c r="Q15" s="796">
        <f t="shared" ref="Q15:Q44" si="6">IFERROR(F15-AB15,"")</f>
        <v>0</v>
      </c>
      <c r="R15" s="326">
        <f t="shared" ref="R15:R44" si="7">IFERROR(G15-AC15,"")</f>
        <v>0</v>
      </c>
      <c r="S15" s="797" t="str">
        <f t="shared" ref="S15:S44" si="8">IFERROR(H15-AD15,"")</f>
        <v/>
      </c>
      <c r="T15" s="796">
        <f t="shared" ref="T15:T44" si="9">IFERROR(I15-AE15,"")</f>
        <v>0</v>
      </c>
      <c r="U15" s="326">
        <f t="shared" ref="U15:U44" si="10">IFERROR(J15-AF15,"")</f>
        <v>0</v>
      </c>
      <c r="W15" s="283" t="s">
        <v>389</v>
      </c>
      <c r="X15" s="793">
        <v>0</v>
      </c>
      <c r="Y15" s="326">
        <v>659</v>
      </c>
      <c r="Z15" s="794">
        <v>0</v>
      </c>
      <c r="AA15" s="795">
        <v>1</v>
      </c>
      <c r="AB15" s="796">
        <v>659</v>
      </c>
      <c r="AC15" s="326">
        <v>659</v>
      </c>
      <c r="AD15" s="797" t="s">
        <v>377</v>
      </c>
      <c r="AE15" s="798">
        <v>0</v>
      </c>
      <c r="AF15" s="799">
        <v>52.721968343633407</v>
      </c>
    </row>
    <row r="16" spans="1:32" x14ac:dyDescent="0.2">
      <c r="A16" s="283" t="s">
        <v>390</v>
      </c>
      <c r="B16" s="793">
        <v>1</v>
      </c>
      <c r="C16" s="283">
        <v>25</v>
      </c>
      <c r="D16" s="283">
        <f t="shared" ref="D16:D43" si="11">+C16*B16</f>
        <v>25</v>
      </c>
      <c r="E16" s="795">
        <v>2</v>
      </c>
      <c r="F16" s="356">
        <f t="shared" ref="F16:F29" si="12">+C16</f>
        <v>25</v>
      </c>
      <c r="G16" s="283">
        <f t="shared" si="0"/>
        <v>50</v>
      </c>
      <c r="H16" s="356" t="s">
        <v>377</v>
      </c>
      <c r="I16" s="795">
        <f t="shared" si="1"/>
        <v>2.0000746716097648</v>
      </c>
      <c r="J16" s="795">
        <f>G16*HLOOKUP($H16,$H$5:$K$9,$K$9,0)*$J$11+$I16/$I$11</f>
        <v>8.0002986864390593</v>
      </c>
      <c r="K16" s="755"/>
      <c r="M16" s="793">
        <f t="shared" si="2"/>
        <v>0</v>
      </c>
      <c r="N16" s="283">
        <f t="shared" si="3"/>
        <v>0</v>
      </c>
      <c r="O16" s="283">
        <f t="shared" si="4"/>
        <v>0</v>
      </c>
      <c r="P16" s="795">
        <f t="shared" si="5"/>
        <v>0</v>
      </c>
      <c r="Q16" s="356">
        <f t="shared" si="6"/>
        <v>0</v>
      </c>
      <c r="R16" s="283">
        <f t="shared" si="7"/>
        <v>0</v>
      </c>
      <c r="S16" s="356" t="str">
        <f t="shared" si="8"/>
        <v/>
      </c>
      <c r="T16" s="795">
        <f t="shared" si="9"/>
        <v>0</v>
      </c>
      <c r="U16" s="795">
        <f t="shared" si="10"/>
        <v>0</v>
      </c>
      <c r="W16" s="283" t="s">
        <v>390</v>
      </c>
      <c r="X16" s="793">
        <v>1</v>
      </c>
      <c r="Y16" s="283">
        <v>25</v>
      </c>
      <c r="Z16" s="283">
        <v>25</v>
      </c>
      <c r="AA16" s="795">
        <v>2</v>
      </c>
      <c r="AB16" s="356">
        <v>25</v>
      </c>
      <c r="AC16" s="283">
        <v>50</v>
      </c>
      <c r="AD16" s="356" t="s">
        <v>377</v>
      </c>
      <c r="AE16" s="795">
        <v>2.0000746716097648</v>
      </c>
      <c r="AF16" s="795">
        <v>8.0002986864390593</v>
      </c>
    </row>
    <row r="17" spans="1:32" x14ac:dyDescent="0.2">
      <c r="A17" s="283" t="s">
        <v>391</v>
      </c>
      <c r="B17" s="281">
        <v>1</v>
      </c>
      <c r="C17" s="283">
        <v>25</v>
      </c>
      <c r="D17" s="283">
        <f t="shared" si="11"/>
        <v>25</v>
      </c>
      <c r="E17" s="795">
        <v>0</v>
      </c>
      <c r="F17" s="356">
        <f t="shared" si="12"/>
        <v>25</v>
      </c>
      <c r="G17" s="283">
        <f t="shared" si="0"/>
        <v>0</v>
      </c>
      <c r="H17" s="356" t="s">
        <v>377</v>
      </c>
      <c r="I17" s="795">
        <f t="shared" si="1"/>
        <v>2.0000746716097648</v>
      </c>
      <c r="J17" s="795">
        <f>G17*HLOOKUP($H17,$H$5:$K$9,$K$9,0)*$J$11+$I17/$I$11</f>
        <v>4.0001493432195296</v>
      </c>
      <c r="K17" s="755"/>
      <c r="M17" s="281">
        <f t="shared" si="2"/>
        <v>0</v>
      </c>
      <c r="N17" s="283">
        <f t="shared" si="3"/>
        <v>0</v>
      </c>
      <c r="O17" s="283">
        <f t="shared" si="4"/>
        <v>0</v>
      </c>
      <c r="P17" s="795">
        <f t="shared" si="5"/>
        <v>0</v>
      </c>
      <c r="Q17" s="356">
        <f t="shared" si="6"/>
        <v>0</v>
      </c>
      <c r="R17" s="283">
        <f t="shared" si="7"/>
        <v>0</v>
      </c>
      <c r="S17" s="356" t="str">
        <f t="shared" si="8"/>
        <v/>
      </c>
      <c r="T17" s="795">
        <f t="shared" si="9"/>
        <v>0</v>
      </c>
      <c r="U17" s="795">
        <f t="shared" si="10"/>
        <v>0</v>
      </c>
      <c r="W17" s="283" t="s">
        <v>392</v>
      </c>
      <c r="X17" s="281">
        <v>1</v>
      </c>
      <c r="Y17" s="283">
        <v>25</v>
      </c>
      <c r="Z17" s="283">
        <v>25</v>
      </c>
      <c r="AA17" s="795">
        <v>0</v>
      </c>
      <c r="AB17" s="356">
        <v>25</v>
      </c>
      <c r="AC17" s="283">
        <v>0</v>
      </c>
      <c r="AD17" s="356" t="s">
        <v>377</v>
      </c>
      <c r="AE17" s="795">
        <v>2.0000746716097648</v>
      </c>
      <c r="AF17" s="795">
        <v>4.0001493432195296</v>
      </c>
    </row>
    <row r="18" spans="1:32" x14ac:dyDescent="0.2">
      <c r="A18" s="283" t="s">
        <v>393</v>
      </c>
      <c r="B18" s="281">
        <v>1</v>
      </c>
      <c r="C18" s="283">
        <v>85</v>
      </c>
      <c r="D18" s="283">
        <f t="shared" si="11"/>
        <v>85</v>
      </c>
      <c r="E18" s="795">
        <v>0</v>
      </c>
      <c r="F18" s="356">
        <f>+C18</f>
        <v>85</v>
      </c>
      <c r="G18" s="283">
        <f>+F18*E18</f>
        <v>0</v>
      </c>
      <c r="H18" s="356" t="s">
        <v>377</v>
      </c>
      <c r="I18" s="795">
        <f t="shared" si="1"/>
        <v>6.8002538834732009</v>
      </c>
      <c r="J18" s="795">
        <f>G18*HLOOKUP($H18,$H$5:$K$9,$K$9,0)*$J$11+$I18/$I$11</f>
        <v>13.600507766946402</v>
      </c>
      <c r="K18" s="755"/>
      <c r="M18" s="281">
        <f t="shared" si="2"/>
        <v>0</v>
      </c>
      <c r="N18" s="283">
        <f t="shared" si="3"/>
        <v>0</v>
      </c>
      <c r="O18" s="283">
        <f t="shared" si="4"/>
        <v>0</v>
      </c>
      <c r="P18" s="795">
        <f t="shared" si="5"/>
        <v>0</v>
      </c>
      <c r="Q18" s="356">
        <f t="shared" si="6"/>
        <v>0</v>
      </c>
      <c r="R18" s="283">
        <f t="shared" si="7"/>
        <v>0</v>
      </c>
      <c r="S18" s="356" t="str">
        <f t="shared" si="8"/>
        <v/>
      </c>
      <c r="T18" s="795">
        <f t="shared" si="9"/>
        <v>0</v>
      </c>
      <c r="U18" s="795">
        <f t="shared" si="10"/>
        <v>0</v>
      </c>
      <c r="W18" s="283" t="s">
        <v>393</v>
      </c>
      <c r="X18" s="281">
        <v>1</v>
      </c>
      <c r="Y18" s="283">
        <v>85</v>
      </c>
      <c r="Z18" s="283">
        <v>85</v>
      </c>
      <c r="AA18" s="795">
        <v>0</v>
      </c>
      <c r="AB18" s="356">
        <v>85</v>
      </c>
      <c r="AC18" s="283">
        <v>0</v>
      </c>
      <c r="AD18" s="356" t="s">
        <v>377</v>
      </c>
      <c r="AE18" s="795">
        <v>6.8002538834732009</v>
      </c>
      <c r="AF18" s="795">
        <v>13.600507766946402</v>
      </c>
    </row>
    <row r="19" spans="1:32" x14ac:dyDescent="0.2">
      <c r="A19" s="283" t="s">
        <v>394</v>
      </c>
      <c r="B19" s="793">
        <v>4</v>
      </c>
      <c r="C19" s="283">
        <v>3</v>
      </c>
      <c r="D19" s="283">
        <f t="shared" si="11"/>
        <v>12</v>
      </c>
      <c r="E19" s="795">
        <v>0</v>
      </c>
      <c r="F19" s="356">
        <f t="shared" si="12"/>
        <v>3</v>
      </c>
      <c r="G19" s="283">
        <f t="shared" si="0"/>
        <v>0</v>
      </c>
      <c r="H19" s="356" t="s">
        <v>377</v>
      </c>
      <c r="I19" s="795">
        <f>D19*HLOOKUP($H19,$H$5:$K$9,$K$9,0)*$I$11</f>
        <v>0.96003584237268713</v>
      </c>
      <c r="J19" s="795">
        <f>G19*HLOOKUP($H19,$H$5:$K$9,$K$9,0)*$J$11+$I19/$I$11</f>
        <v>1.9200716847453743</v>
      </c>
      <c r="K19" s="755"/>
      <c r="M19" s="793">
        <f t="shared" si="2"/>
        <v>0</v>
      </c>
      <c r="N19" s="283">
        <f t="shared" si="3"/>
        <v>0</v>
      </c>
      <c r="O19" s="283">
        <f t="shared" si="4"/>
        <v>0</v>
      </c>
      <c r="P19" s="795">
        <f t="shared" si="5"/>
        <v>0</v>
      </c>
      <c r="Q19" s="356">
        <f t="shared" si="6"/>
        <v>0</v>
      </c>
      <c r="R19" s="283">
        <f t="shared" si="7"/>
        <v>0</v>
      </c>
      <c r="S19" s="356" t="str">
        <f t="shared" si="8"/>
        <v/>
      </c>
      <c r="T19" s="795">
        <f t="shared" si="9"/>
        <v>0</v>
      </c>
      <c r="U19" s="795">
        <f t="shared" si="10"/>
        <v>0</v>
      </c>
      <c r="W19" s="283" t="s">
        <v>395</v>
      </c>
      <c r="X19" s="793">
        <v>4</v>
      </c>
      <c r="Y19" s="283">
        <v>3</v>
      </c>
      <c r="Z19" s="283">
        <v>12</v>
      </c>
      <c r="AA19" s="795">
        <v>0</v>
      </c>
      <c r="AB19" s="356">
        <v>3</v>
      </c>
      <c r="AC19" s="283">
        <v>0</v>
      </c>
      <c r="AD19" s="356" t="s">
        <v>377</v>
      </c>
      <c r="AE19" s="795">
        <v>0.96003584237268713</v>
      </c>
      <c r="AF19" s="795">
        <v>1.9200716847453743</v>
      </c>
    </row>
    <row r="20" spans="1:32" x14ac:dyDescent="0.2">
      <c r="A20" s="283" t="s">
        <v>396</v>
      </c>
      <c r="B20" s="793">
        <v>1</v>
      </c>
      <c r="C20" s="283">
        <v>291</v>
      </c>
      <c r="D20" s="283">
        <f t="shared" si="11"/>
        <v>291</v>
      </c>
      <c r="E20" s="795">
        <v>2</v>
      </c>
      <c r="F20" s="356">
        <f t="shared" si="12"/>
        <v>291</v>
      </c>
      <c r="G20" s="283">
        <f t="shared" si="0"/>
        <v>582</v>
      </c>
      <c r="H20" s="356" t="s">
        <v>377</v>
      </c>
      <c r="I20" s="795">
        <f>D20*HLOOKUP($H20,$H$5:$K$9,$K$9,0)*$I$11</f>
        <v>23.280869177537664</v>
      </c>
      <c r="J20" s="795">
        <f t="shared" ref="J20:J43" si="13">G20*HLOOKUP($H20,$H$5:$K$9,$K$9,0)*$J$11+$I20/$I$11</f>
        <v>93.123476710150655</v>
      </c>
      <c r="K20" s="755"/>
      <c r="M20" s="793">
        <f t="shared" si="2"/>
        <v>0</v>
      </c>
      <c r="N20" s="283">
        <f t="shared" si="3"/>
        <v>0</v>
      </c>
      <c r="O20" s="283">
        <f t="shared" si="4"/>
        <v>0</v>
      </c>
      <c r="P20" s="795">
        <f t="shared" si="5"/>
        <v>0</v>
      </c>
      <c r="Q20" s="356">
        <f t="shared" si="6"/>
        <v>0</v>
      </c>
      <c r="R20" s="283">
        <f t="shared" si="7"/>
        <v>0</v>
      </c>
      <c r="S20" s="356" t="str">
        <f t="shared" si="8"/>
        <v/>
      </c>
      <c r="T20" s="795">
        <f t="shared" si="9"/>
        <v>0</v>
      </c>
      <c r="U20" s="795">
        <f t="shared" si="10"/>
        <v>0</v>
      </c>
      <c r="W20" s="283" t="s">
        <v>396</v>
      </c>
      <c r="X20" s="793">
        <v>1</v>
      </c>
      <c r="Y20" s="283">
        <v>291</v>
      </c>
      <c r="Z20" s="283">
        <v>291</v>
      </c>
      <c r="AA20" s="795">
        <v>2</v>
      </c>
      <c r="AB20" s="356">
        <v>291</v>
      </c>
      <c r="AC20" s="283">
        <v>582</v>
      </c>
      <c r="AD20" s="356" t="s">
        <v>377</v>
      </c>
      <c r="AE20" s="795">
        <v>23.280869177537664</v>
      </c>
      <c r="AF20" s="795">
        <v>93.123476710150655</v>
      </c>
    </row>
    <row r="21" spans="1:32" x14ac:dyDescent="0.2">
      <c r="A21" s="283" t="s">
        <v>397</v>
      </c>
      <c r="B21" s="793">
        <v>1</v>
      </c>
      <c r="C21" s="283">
        <v>36</v>
      </c>
      <c r="D21" s="283">
        <f t="shared" si="11"/>
        <v>36</v>
      </c>
      <c r="E21" s="795">
        <v>0</v>
      </c>
      <c r="F21" s="356">
        <f t="shared" si="12"/>
        <v>36</v>
      </c>
      <c r="G21" s="283">
        <f t="shared" si="0"/>
        <v>0</v>
      </c>
      <c r="H21" s="356" t="s">
        <v>377</v>
      </c>
      <c r="I21" s="795">
        <f>D21*HLOOKUP($H21,$H$5:$K$9,$K$9,0)*$I$11</f>
        <v>2.8801075271180614</v>
      </c>
      <c r="J21" s="795">
        <f t="shared" si="13"/>
        <v>5.7602150542361228</v>
      </c>
      <c r="K21" s="755"/>
      <c r="M21" s="793">
        <f t="shared" si="2"/>
        <v>0</v>
      </c>
      <c r="N21" s="283">
        <f t="shared" si="3"/>
        <v>0</v>
      </c>
      <c r="O21" s="283">
        <f t="shared" si="4"/>
        <v>0</v>
      </c>
      <c r="P21" s="795">
        <f t="shared" si="5"/>
        <v>0</v>
      </c>
      <c r="Q21" s="356">
        <f t="shared" si="6"/>
        <v>0</v>
      </c>
      <c r="R21" s="283">
        <f t="shared" si="7"/>
        <v>0</v>
      </c>
      <c r="S21" s="356" t="str">
        <f t="shared" si="8"/>
        <v/>
      </c>
      <c r="T21" s="795">
        <f t="shared" si="9"/>
        <v>0</v>
      </c>
      <c r="U21" s="795">
        <f t="shared" si="10"/>
        <v>0</v>
      </c>
      <c r="W21" s="283" t="s">
        <v>397</v>
      </c>
      <c r="X21" s="793">
        <v>1</v>
      </c>
      <c r="Y21" s="283">
        <v>36</v>
      </c>
      <c r="Z21" s="283">
        <v>36</v>
      </c>
      <c r="AA21" s="795">
        <v>0</v>
      </c>
      <c r="AB21" s="356">
        <v>36</v>
      </c>
      <c r="AC21" s="283">
        <v>0</v>
      </c>
      <c r="AD21" s="356" t="s">
        <v>377</v>
      </c>
      <c r="AE21" s="795">
        <v>2.8801075271180614</v>
      </c>
      <c r="AF21" s="795">
        <v>5.7602150542361228</v>
      </c>
    </row>
    <row r="22" spans="1:32" x14ac:dyDescent="0.2">
      <c r="A22" s="283" t="s">
        <v>398</v>
      </c>
      <c r="B22" s="793">
        <v>0</v>
      </c>
      <c r="C22" s="283">
        <v>347</v>
      </c>
      <c r="D22" s="283">
        <f t="shared" si="11"/>
        <v>0</v>
      </c>
      <c r="E22" s="795">
        <v>1</v>
      </c>
      <c r="F22" s="356">
        <f t="shared" si="12"/>
        <v>347</v>
      </c>
      <c r="G22" s="283">
        <f t="shared" si="0"/>
        <v>347</v>
      </c>
      <c r="H22" s="356" t="s">
        <v>377</v>
      </c>
      <c r="I22" s="795">
        <f>D22*HLOOKUP($H22,$H$5:$K$9,$K$9,0)*$I$11</f>
        <v>0</v>
      </c>
      <c r="J22" s="795">
        <f t="shared" si="13"/>
        <v>27.761036441943538</v>
      </c>
      <c r="K22" s="755"/>
      <c r="M22" s="793">
        <f t="shared" si="2"/>
        <v>0</v>
      </c>
      <c r="N22" s="283">
        <f t="shared" si="3"/>
        <v>0</v>
      </c>
      <c r="O22" s="283">
        <f t="shared" si="4"/>
        <v>0</v>
      </c>
      <c r="P22" s="795">
        <f t="shared" si="5"/>
        <v>0</v>
      </c>
      <c r="Q22" s="356">
        <f t="shared" si="6"/>
        <v>0</v>
      </c>
      <c r="R22" s="283">
        <f t="shared" si="7"/>
        <v>0</v>
      </c>
      <c r="S22" s="356" t="str">
        <f t="shared" si="8"/>
        <v/>
      </c>
      <c r="T22" s="795">
        <f t="shared" si="9"/>
        <v>0</v>
      </c>
      <c r="U22" s="795">
        <f t="shared" si="10"/>
        <v>0</v>
      </c>
      <c r="W22" s="283" t="s">
        <v>398</v>
      </c>
      <c r="X22" s="793">
        <v>0</v>
      </c>
      <c r="Y22" s="283">
        <v>347</v>
      </c>
      <c r="Z22" s="283">
        <v>0</v>
      </c>
      <c r="AA22" s="795">
        <v>1</v>
      </c>
      <c r="AB22" s="356">
        <v>347</v>
      </c>
      <c r="AC22" s="283">
        <v>347</v>
      </c>
      <c r="AD22" s="356" t="s">
        <v>377</v>
      </c>
      <c r="AE22" s="795">
        <v>0</v>
      </c>
      <c r="AF22" s="795">
        <v>27.761036441943538</v>
      </c>
    </row>
    <row r="23" spans="1:32" x14ac:dyDescent="0.2">
      <c r="A23" s="283" t="s">
        <v>399</v>
      </c>
      <c r="B23" s="793">
        <v>2</v>
      </c>
      <c r="C23" s="283">
        <v>8</v>
      </c>
      <c r="D23" s="283">
        <f t="shared" si="11"/>
        <v>16</v>
      </c>
      <c r="E23" s="795">
        <v>0</v>
      </c>
      <c r="F23" s="356">
        <f t="shared" si="12"/>
        <v>8</v>
      </c>
      <c r="G23" s="283">
        <f t="shared" si="0"/>
        <v>0</v>
      </c>
      <c r="H23" s="356" t="s">
        <v>377</v>
      </c>
      <c r="I23" s="795">
        <f>D23*HLOOKUP($H23,$H$5:$K$9,$K$9,0)*$I$11</f>
        <v>1.2800477898302496</v>
      </c>
      <c r="J23" s="795">
        <f t="shared" si="13"/>
        <v>2.5600955796604992</v>
      </c>
      <c r="K23" s="755"/>
      <c r="M23" s="793">
        <f t="shared" si="2"/>
        <v>0</v>
      </c>
      <c r="N23" s="283">
        <f t="shared" si="3"/>
        <v>0</v>
      </c>
      <c r="O23" s="283">
        <f t="shared" si="4"/>
        <v>0</v>
      </c>
      <c r="P23" s="795">
        <f t="shared" si="5"/>
        <v>0</v>
      </c>
      <c r="Q23" s="356">
        <f t="shared" si="6"/>
        <v>0</v>
      </c>
      <c r="R23" s="283">
        <f t="shared" si="7"/>
        <v>0</v>
      </c>
      <c r="S23" s="356" t="str">
        <f t="shared" si="8"/>
        <v/>
      </c>
      <c r="T23" s="795">
        <f t="shared" si="9"/>
        <v>0</v>
      </c>
      <c r="U23" s="795">
        <f t="shared" si="10"/>
        <v>0</v>
      </c>
      <c r="W23" s="283" t="s">
        <v>399</v>
      </c>
      <c r="X23" s="793">
        <v>2</v>
      </c>
      <c r="Y23" s="283">
        <v>8</v>
      </c>
      <c r="Z23" s="283">
        <v>16</v>
      </c>
      <c r="AA23" s="795">
        <v>0</v>
      </c>
      <c r="AB23" s="356">
        <v>8</v>
      </c>
      <c r="AC23" s="283">
        <v>0</v>
      </c>
      <c r="AD23" s="356" t="s">
        <v>377</v>
      </c>
      <c r="AE23" s="795">
        <v>1.2800477898302496</v>
      </c>
      <c r="AF23" s="795">
        <v>2.5600955796604992</v>
      </c>
    </row>
    <row r="24" spans="1:32" x14ac:dyDescent="0.2">
      <c r="A24" s="283" t="s">
        <v>400</v>
      </c>
      <c r="B24" s="793">
        <v>8</v>
      </c>
      <c r="C24" s="283">
        <v>9</v>
      </c>
      <c r="D24" s="283">
        <f t="shared" si="11"/>
        <v>72</v>
      </c>
      <c r="E24" s="795">
        <v>0</v>
      </c>
      <c r="F24" s="356">
        <f t="shared" si="12"/>
        <v>9</v>
      </c>
      <c r="G24" s="283">
        <f t="shared" si="0"/>
        <v>0</v>
      </c>
      <c r="H24" s="356" t="s">
        <v>377</v>
      </c>
      <c r="I24" s="795">
        <f t="shared" si="1"/>
        <v>5.7602150542361228</v>
      </c>
      <c r="J24" s="795">
        <f t="shared" si="13"/>
        <v>11.520430108472246</v>
      </c>
      <c r="K24" s="755"/>
      <c r="M24" s="793">
        <f t="shared" si="2"/>
        <v>0</v>
      </c>
      <c r="N24" s="283">
        <f t="shared" si="3"/>
        <v>0</v>
      </c>
      <c r="O24" s="283">
        <f t="shared" si="4"/>
        <v>0</v>
      </c>
      <c r="P24" s="795">
        <f t="shared" si="5"/>
        <v>0</v>
      </c>
      <c r="Q24" s="356">
        <f t="shared" si="6"/>
        <v>0</v>
      </c>
      <c r="R24" s="283">
        <f t="shared" si="7"/>
        <v>0</v>
      </c>
      <c r="S24" s="356" t="str">
        <f t="shared" si="8"/>
        <v/>
      </c>
      <c r="T24" s="795">
        <f t="shared" si="9"/>
        <v>0</v>
      </c>
      <c r="U24" s="795">
        <f t="shared" si="10"/>
        <v>0</v>
      </c>
      <c r="W24" s="283" t="s">
        <v>401</v>
      </c>
      <c r="X24" s="793">
        <v>8</v>
      </c>
      <c r="Y24" s="283">
        <v>9</v>
      </c>
      <c r="Z24" s="283">
        <v>72</v>
      </c>
      <c r="AA24" s="795">
        <v>0</v>
      </c>
      <c r="AB24" s="356">
        <v>9</v>
      </c>
      <c r="AC24" s="283">
        <v>0</v>
      </c>
      <c r="AD24" s="356" t="s">
        <v>377</v>
      </c>
      <c r="AE24" s="795">
        <v>5.7602150542361228</v>
      </c>
      <c r="AF24" s="795">
        <v>11.520430108472246</v>
      </c>
    </row>
    <row r="25" spans="1:32" x14ac:dyDescent="0.2">
      <c r="A25" s="283" t="s">
        <v>402</v>
      </c>
      <c r="B25" s="793">
        <v>1</v>
      </c>
      <c r="C25" s="283">
        <v>62</v>
      </c>
      <c r="D25" s="283">
        <f t="shared" si="11"/>
        <v>62</v>
      </c>
      <c r="E25" s="795">
        <v>1</v>
      </c>
      <c r="F25" s="356">
        <f t="shared" si="12"/>
        <v>62</v>
      </c>
      <c r="G25" s="283">
        <f t="shared" si="0"/>
        <v>62</v>
      </c>
      <c r="H25" s="356" t="s">
        <v>377</v>
      </c>
      <c r="I25" s="795">
        <f t="shared" si="1"/>
        <v>4.9601851855922172</v>
      </c>
      <c r="J25" s="795">
        <f t="shared" si="13"/>
        <v>14.880555556776653</v>
      </c>
      <c r="K25" s="755"/>
      <c r="M25" s="793">
        <f t="shared" si="2"/>
        <v>0</v>
      </c>
      <c r="N25" s="283">
        <f t="shared" si="3"/>
        <v>0</v>
      </c>
      <c r="O25" s="283">
        <f t="shared" si="4"/>
        <v>0</v>
      </c>
      <c r="P25" s="795">
        <f t="shared" si="5"/>
        <v>0</v>
      </c>
      <c r="Q25" s="356">
        <f t="shared" si="6"/>
        <v>0</v>
      </c>
      <c r="R25" s="283">
        <f t="shared" si="7"/>
        <v>0</v>
      </c>
      <c r="S25" s="356" t="str">
        <f t="shared" si="8"/>
        <v/>
      </c>
      <c r="T25" s="795">
        <f t="shared" si="9"/>
        <v>0</v>
      </c>
      <c r="U25" s="795">
        <f t="shared" si="10"/>
        <v>0</v>
      </c>
      <c r="W25" s="283" t="s">
        <v>402</v>
      </c>
      <c r="X25" s="793">
        <v>1</v>
      </c>
      <c r="Y25" s="283">
        <v>62</v>
      </c>
      <c r="Z25" s="283">
        <v>62</v>
      </c>
      <c r="AA25" s="795">
        <v>1</v>
      </c>
      <c r="AB25" s="356">
        <v>62</v>
      </c>
      <c r="AC25" s="283">
        <v>62</v>
      </c>
      <c r="AD25" s="356" t="s">
        <v>377</v>
      </c>
      <c r="AE25" s="795">
        <v>4.9601851855922172</v>
      </c>
      <c r="AF25" s="795">
        <v>14.880555556776653</v>
      </c>
    </row>
    <row r="26" spans="1:32" x14ac:dyDescent="0.2">
      <c r="A26" s="283" t="s">
        <v>403</v>
      </c>
      <c r="B26" s="793">
        <v>3</v>
      </c>
      <c r="C26" s="283">
        <v>54</v>
      </c>
      <c r="D26" s="283">
        <f t="shared" si="11"/>
        <v>162</v>
      </c>
      <c r="E26" s="795">
        <v>4</v>
      </c>
      <c r="F26" s="356">
        <f t="shared" si="12"/>
        <v>54</v>
      </c>
      <c r="G26" s="283">
        <f t="shared" si="0"/>
        <v>216</v>
      </c>
      <c r="H26" s="356" t="s">
        <v>377</v>
      </c>
      <c r="I26" s="795">
        <f t="shared" si="1"/>
        <v>12.960483872031277</v>
      </c>
      <c r="J26" s="795">
        <f t="shared" si="13"/>
        <v>43.201612906770926</v>
      </c>
      <c r="K26" s="755"/>
      <c r="M26" s="793">
        <f t="shared" si="2"/>
        <v>0</v>
      </c>
      <c r="N26" s="283">
        <f t="shared" si="3"/>
        <v>0</v>
      </c>
      <c r="O26" s="283">
        <f t="shared" si="4"/>
        <v>0</v>
      </c>
      <c r="P26" s="795">
        <f t="shared" si="5"/>
        <v>0</v>
      </c>
      <c r="Q26" s="356">
        <f t="shared" si="6"/>
        <v>0</v>
      </c>
      <c r="R26" s="283">
        <f t="shared" si="7"/>
        <v>0</v>
      </c>
      <c r="S26" s="356" t="str">
        <f t="shared" si="8"/>
        <v/>
      </c>
      <c r="T26" s="795">
        <f t="shared" si="9"/>
        <v>0</v>
      </c>
      <c r="U26" s="795">
        <f t="shared" si="10"/>
        <v>0</v>
      </c>
      <c r="W26" s="283" t="s">
        <v>403</v>
      </c>
      <c r="X26" s="793">
        <v>3</v>
      </c>
      <c r="Y26" s="283">
        <v>54</v>
      </c>
      <c r="Z26" s="283">
        <v>162</v>
      </c>
      <c r="AA26" s="795">
        <v>4</v>
      </c>
      <c r="AB26" s="356">
        <v>54</v>
      </c>
      <c r="AC26" s="283">
        <v>216</v>
      </c>
      <c r="AD26" s="356" t="s">
        <v>377</v>
      </c>
      <c r="AE26" s="795">
        <v>12.960483872031277</v>
      </c>
      <c r="AF26" s="795">
        <v>43.201612906770926</v>
      </c>
    </row>
    <row r="27" spans="1:32" x14ac:dyDescent="0.2">
      <c r="A27" s="283" t="s">
        <v>404</v>
      </c>
      <c r="B27" s="793">
        <v>1</v>
      </c>
      <c r="C27" s="283">
        <v>25</v>
      </c>
      <c r="D27" s="283">
        <f t="shared" si="11"/>
        <v>25</v>
      </c>
      <c r="E27" s="795">
        <v>0</v>
      </c>
      <c r="F27" s="356">
        <f t="shared" si="12"/>
        <v>25</v>
      </c>
      <c r="G27" s="283">
        <f t="shared" si="0"/>
        <v>0</v>
      </c>
      <c r="H27" s="356" t="s">
        <v>377</v>
      </c>
      <c r="I27" s="795">
        <f t="shared" si="1"/>
        <v>2.0000746716097648</v>
      </c>
      <c r="J27" s="795">
        <f t="shared" si="13"/>
        <v>4.0001493432195296</v>
      </c>
      <c r="K27" s="755"/>
      <c r="M27" s="793">
        <f t="shared" si="2"/>
        <v>0</v>
      </c>
      <c r="N27" s="283">
        <f t="shared" si="3"/>
        <v>0</v>
      </c>
      <c r="O27" s="283">
        <f t="shared" si="4"/>
        <v>0</v>
      </c>
      <c r="P27" s="795">
        <f t="shared" si="5"/>
        <v>0</v>
      </c>
      <c r="Q27" s="356">
        <f t="shared" si="6"/>
        <v>0</v>
      </c>
      <c r="R27" s="283">
        <f t="shared" si="7"/>
        <v>0</v>
      </c>
      <c r="S27" s="356" t="str">
        <f t="shared" si="8"/>
        <v/>
      </c>
      <c r="T27" s="795">
        <f t="shared" si="9"/>
        <v>0</v>
      </c>
      <c r="U27" s="795">
        <f t="shared" si="10"/>
        <v>0</v>
      </c>
      <c r="W27" s="283" t="s">
        <v>406</v>
      </c>
      <c r="X27" s="793">
        <v>1</v>
      </c>
      <c r="Y27" s="283">
        <v>25</v>
      </c>
      <c r="Z27" s="283">
        <v>25</v>
      </c>
      <c r="AA27" s="795">
        <v>0</v>
      </c>
      <c r="AB27" s="356">
        <v>25</v>
      </c>
      <c r="AC27" s="283">
        <v>0</v>
      </c>
      <c r="AD27" s="356" t="s">
        <v>377</v>
      </c>
      <c r="AE27" s="795">
        <v>2.0000746716097648</v>
      </c>
      <c r="AF27" s="795">
        <v>4.0001493432195296</v>
      </c>
    </row>
    <row r="28" spans="1:32" x14ac:dyDescent="0.2">
      <c r="A28" s="283" t="s">
        <v>407</v>
      </c>
      <c r="B28" s="793">
        <v>2</v>
      </c>
      <c r="C28" s="283">
        <v>32</v>
      </c>
      <c r="D28" s="283">
        <f t="shared" si="11"/>
        <v>64</v>
      </c>
      <c r="E28" s="795">
        <v>0</v>
      </c>
      <c r="F28" s="356">
        <f t="shared" si="12"/>
        <v>32</v>
      </c>
      <c r="G28" s="283">
        <f t="shared" si="0"/>
        <v>0</v>
      </c>
      <c r="H28" s="356" t="s">
        <v>377</v>
      </c>
      <c r="I28" s="795">
        <f t="shared" si="1"/>
        <v>5.1201911593209983</v>
      </c>
      <c r="J28" s="795">
        <f t="shared" si="13"/>
        <v>10.240382318641997</v>
      </c>
      <c r="K28" s="755"/>
      <c r="M28" s="793">
        <f t="shared" si="2"/>
        <v>0</v>
      </c>
      <c r="N28" s="283">
        <f t="shared" si="3"/>
        <v>0</v>
      </c>
      <c r="O28" s="283">
        <f t="shared" si="4"/>
        <v>0</v>
      </c>
      <c r="P28" s="795">
        <f t="shared" si="5"/>
        <v>0</v>
      </c>
      <c r="Q28" s="356">
        <f t="shared" si="6"/>
        <v>0</v>
      </c>
      <c r="R28" s="283">
        <f t="shared" si="7"/>
        <v>0</v>
      </c>
      <c r="S28" s="356" t="str">
        <f t="shared" si="8"/>
        <v/>
      </c>
      <c r="T28" s="795">
        <f t="shared" si="9"/>
        <v>0</v>
      </c>
      <c r="U28" s="795">
        <f t="shared" si="10"/>
        <v>0</v>
      </c>
      <c r="W28" s="283" t="s">
        <v>407</v>
      </c>
      <c r="X28" s="793">
        <v>2</v>
      </c>
      <c r="Y28" s="283">
        <v>32</v>
      </c>
      <c r="Z28" s="283">
        <v>64</v>
      </c>
      <c r="AA28" s="795">
        <v>0</v>
      </c>
      <c r="AB28" s="356">
        <v>32</v>
      </c>
      <c r="AC28" s="283">
        <v>0</v>
      </c>
      <c r="AD28" s="356" t="s">
        <v>377</v>
      </c>
      <c r="AE28" s="795">
        <v>5.1201911593209983</v>
      </c>
      <c r="AF28" s="795">
        <v>10.240382318641997</v>
      </c>
    </row>
    <row r="29" spans="1:32" x14ac:dyDescent="0.2">
      <c r="A29" s="283" t="s">
        <v>408</v>
      </c>
      <c r="B29" s="793">
        <v>1</v>
      </c>
      <c r="C29" s="283">
        <v>14</v>
      </c>
      <c r="D29" s="283">
        <f t="shared" si="11"/>
        <v>14</v>
      </c>
      <c r="E29" s="795">
        <v>1</v>
      </c>
      <c r="F29" s="356">
        <f t="shared" si="12"/>
        <v>14</v>
      </c>
      <c r="G29" s="283">
        <f t="shared" si="0"/>
        <v>14</v>
      </c>
      <c r="H29" s="356" t="s">
        <v>377</v>
      </c>
      <c r="I29" s="795">
        <f t="shared" si="1"/>
        <v>1.1200418161014685</v>
      </c>
      <c r="J29" s="795">
        <f t="shared" si="13"/>
        <v>3.3601254483044052</v>
      </c>
      <c r="K29" s="755"/>
      <c r="M29" s="793">
        <f t="shared" si="2"/>
        <v>0</v>
      </c>
      <c r="N29" s="283">
        <f t="shared" si="3"/>
        <v>0</v>
      </c>
      <c r="O29" s="283">
        <f t="shared" si="4"/>
        <v>0</v>
      </c>
      <c r="P29" s="795">
        <f t="shared" si="5"/>
        <v>0</v>
      </c>
      <c r="Q29" s="356">
        <f t="shared" si="6"/>
        <v>0</v>
      </c>
      <c r="R29" s="283">
        <f t="shared" si="7"/>
        <v>0</v>
      </c>
      <c r="S29" s="356" t="str">
        <f t="shared" si="8"/>
        <v/>
      </c>
      <c r="T29" s="795">
        <f t="shared" si="9"/>
        <v>0</v>
      </c>
      <c r="U29" s="795">
        <f t="shared" si="10"/>
        <v>0</v>
      </c>
      <c r="W29" s="283" t="s">
        <v>408</v>
      </c>
      <c r="X29" s="793">
        <v>1</v>
      </c>
      <c r="Y29" s="283">
        <v>14</v>
      </c>
      <c r="Z29" s="283">
        <v>14</v>
      </c>
      <c r="AA29" s="795">
        <v>1</v>
      </c>
      <c r="AB29" s="356">
        <v>14</v>
      </c>
      <c r="AC29" s="283">
        <v>14</v>
      </c>
      <c r="AD29" s="356" t="s">
        <v>377</v>
      </c>
      <c r="AE29" s="795">
        <v>1.1200418161014685</v>
      </c>
      <c r="AF29" s="795">
        <v>3.3601254483044052</v>
      </c>
    </row>
    <row r="30" spans="1:32" hidden="1" x14ac:dyDescent="0.2">
      <c r="A30" s="283" t="s">
        <v>409</v>
      </c>
      <c r="B30" s="793"/>
      <c r="C30" s="283"/>
      <c r="D30" s="283"/>
      <c r="E30" s="795"/>
      <c r="F30" s="356"/>
      <c r="G30" s="283"/>
      <c r="H30" s="356"/>
      <c r="I30" s="795"/>
      <c r="J30" s="795"/>
      <c r="M30" s="793">
        <f t="shared" si="2"/>
        <v>0</v>
      </c>
      <c r="N30" s="283">
        <f t="shared" si="3"/>
        <v>-900</v>
      </c>
      <c r="O30" s="283">
        <f t="shared" si="4"/>
        <v>0</v>
      </c>
      <c r="P30" s="795">
        <f t="shared" si="5"/>
        <v>-1</v>
      </c>
      <c r="Q30" s="356">
        <f t="shared" si="6"/>
        <v>-900</v>
      </c>
      <c r="R30" s="283">
        <f t="shared" si="7"/>
        <v>-900</v>
      </c>
      <c r="S30" s="356" t="str">
        <f t="shared" si="8"/>
        <v/>
      </c>
      <c r="T30" s="795">
        <f t="shared" si="9"/>
        <v>0</v>
      </c>
      <c r="U30" s="795">
        <f t="shared" si="10"/>
        <v>-72.002688177951541</v>
      </c>
      <c r="W30" s="283" t="s">
        <v>409</v>
      </c>
      <c r="X30" s="793">
        <v>0</v>
      </c>
      <c r="Y30" s="283">
        <v>900</v>
      </c>
      <c r="Z30" s="283">
        <v>0</v>
      </c>
      <c r="AA30" s="795">
        <v>1</v>
      </c>
      <c r="AB30" s="356">
        <v>900</v>
      </c>
      <c r="AC30" s="283">
        <v>900</v>
      </c>
      <c r="AD30" s="356" t="s">
        <v>377</v>
      </c>
      <c r="AE30" s="795">
        <v>0</v>
      </c>
      <c r="AF30" s="795">
        <v>72.002688177951541</v>
      </c>
    </row>
    <row r="31" spans="1:32" x14ac:dyDescent="0.2">
      <c r="A31" s="283" t="s">
        <v>411</v>
      </c>
      <c r="B31" s="793">
        <v>0</v>
      </c>
      <c r="C31" s="283">
        <f>+F31</f>
        <v>75</v>
      </c>
      <c r="D31" s="283">
        <f t="shared" si="11"/>
        <v>0</v>
      </c>
      <c r="E31" s="795">
        <v>2</v>
      </c>
      <c r="F31" s="356">
        <v>75</v>
      </c>
      <c r="G31" s="283">
        <f t="shared" si="0"/>
        <v>150</v>
      </c>
      <c r="H31" s="356" t="s">
        <v>377</v>
      </c>
      <c r="I31" s="795">
        <f t="shared" si="1"/>
        <v>0</v>
      </c>
      <c r="J31" s="795">
        <f t="shared" si="13"/>
        <v>12.000448029658591</v>
      </c>
      <c r="K31" s="755"/>
      <c r="M31" s="793">
        <f t="shared" si="2"/>
        <v>0</v>
      </c>
      <c r="N31" s="283">
        <f t="shared" si="3"/>
        <v>0</v>
      </c>
      <c r="O31" s="283">
        <f t="shared" si="4"/>
        <v>0</v>
      </c>
      <c r="P31" s="795">
        <f t="shared" si="5"/>
        <v>0</v>
      </c>
      <c r="Q31" s="356">
        <f t="shared" si="6"/>
        <v>0</v>
      </c>
      <c r="R31" s="283">
        <f t="shared" si="7"/>
        <v>0</v>
      </c>
      <c r="S31" s="356" t="str">
        <f t="shared" si="8"/>
        <v/>
      </c>
      <c r="T31" s="795">
        <f t="shared" si="9"/>
        <v>0</v>
      </c>
      <c r="U31" s="795">
        <f t="shared" si="10"/>
        <v>0</v>
      </c>
      <c r="W31" s="283" t="s">
        <v>411</v>
      </c>
      <c r="X31" s="793">
        <v>0</v>
      </c>
      <c r="Y31" s="283">
        <v>75</v>
      </c>
      <c r="Z31" s="283">
        <v>0</v>
      </c>
      <c r="AA31" s="795">
        <v>2</v>
      </c>
      <c r="AB31" s="356">
        <v>75</v>
      </c>
      <c r="AC31" s="283">
        <v>150</v>
      </c>
      <c r="AD31" s="356" t="s">
        <v>377</v>
      </c>
      <c r="AE31" s="795">
        <v>0</v>
      </c>
      <c r="AF31" s="795">
        <v>12.000448029658591</v>
      </c>
    </row>
    <row r="32" spans="1:32" x14ac:dyDescent="0.2">
      <c r="A32" s="283" t="s">
        <v>412</v>
      </c>
      <c r="B32" s="793">
        <v>0</v>
      </c>
      <c r="C32" s="283">
        <v>229</v>
      </c>
      <c r="D32" s="283">
        <f t="shared" si="11"/>
        <v>0</v>
      </c>
      <c r="E32" s="283">
        <v>1</v>
      </c>
      <c r="F32" s="356">
        <v>229</v>
      </c>
      <c r="G32" s="283">
        <f t="shared" si="0"/>
        <v>229</v>
      </c>
      <c r="H32" s="356" t="s">
        <v>377</v>
      </c>
      <c r="I32" s="795">
        <f t="shared" si="1"/>
        <v>0</v>
      </c>
      <c r="J32" s="795">
        <f t="shared" si="13"/>
        <v>18.320683991945447</v>
      </c>
      <c r="K32" s="755"/>
      <c r="M32" s="793">
        <f t="shared" si="2"/>
        <v>0</v>
      </c>
      <c r="N32" s="283">
        <f t="shared" si="3"/>
        <v>0</v>
      </c>
      <c r="O32" s="283">
        <f t="shared" si="4"/>
        <v>0</v>
      </c>
      <c r="P32" s="283">
        <f t="shared" si="5"/>
        <v>0</v>
      </c>
      <c r="Q32" s="356">
        <f t="shared" si="6"/>
        <v>0</v>
      </c>
      <c r="R32" s="283">
        <f t="shared" si="7"/>
        <v>0</v>
      </c>
      <c r="S32" s="356" t="str">
        <f t="shared" si="8"/>
        <v/>
      </c>
      <c r="T32" s="795">
        <f t="shared" si="9"/>
        <v>0</v>
      </c>
      <c r="U32" s="795">
        <f t="shared" si="10"/>
        <v>0</v>
      </c>
      <c r="W32" s="283" t="s">
        <v>413</v>
      </c>
      <c r="X32" s="793">
        <v>0</v>
      </c>
      <c r="Y32" s="283">
        <v>229</v>
      </c>
      <c r="Z32" s="283">
        <v>0</v>
      </c>
      <c r="AA32" s="283">
        <v>1</v>
      </c>
      <c r="AB32" s="325">
        <v>229</v>
      </c>
      <c r="AC32" s="283">
        <v>229</v>
      </c>
      <c r="AD32" s="356" t="s">
        <v>377</v>
      </c>
      <c r="AE32" s="795">
        <v>0</v>
      </c>
      <c r="AF32" s="795">
        <v>18.320683991945447</v>
      </c>
    </row>
    <row r="33" spans="1:32" x14ac:dyDescent="0.2">
      <c r="A33" s="283" t="s">
        <v>414</v>
      </c>
      <c r="B33" s="793">
        <v>3</v>
      </c>
      <c r="C33" s="283">
        <v>98</v>
      </c>
      <c r="D33" s="283">
        <f t="shared" si="11"/>
        <v>294</v>
      </c>
      <c r="E33" s="795">
        <v>0</v>
      </c>
      <c r="F33" s="356">
        <f t="shared" ref="F33:F39" si="14">+C33</f>
        <v>98</v>
      </c>
      <c r="G33" s="283">
        <f t="shared" si="0"/>
        <v>0</v>
      </c>
      <c r="H33" s="356" t="s">
        <v>377</v>
      </c>
      <c r="I33" s="795">
        <f t="shared" si="1"/>
        <v>23.520878138130836</v>
      </c>
      <c r="J33" s="795">
        <f t="shared" si="13"/>
        <v>47.041756276261673</v>
      </c>
      <c r="K33" s="755"/>
      <c r="M33" s="793">
        <f t="shared" si="2"/>
        <v>0</v>
      </c>
      <c r="N33" s="283">
        <f t="shared" si="3"/>
        <v>0</v>
      </c>
      <c r="O33" s="283">
        <f t="shared" si="4"/>
        <v>0</v>
      </c>
      <c r="P33" s="795">
        <f t="shared" si="5"/>
        <v>0</v>
      </c>
      <c r="Q33" s="356">
        <f t="shared" si="6"/>
        <v>0</v>
      </c>
      <c r="R33" s="283">
        <f t="shared" si="7"/>
        <v>0</v>
      </c>
      <c r="S33" s="356" t="str">
        <f t="shared" si="8"/>
        <v/>
      </c>
      <c r="T33" s="795">
        <f t="shared" si="9"/>
        <v>0</v>
      </c>
      <c r="U33" s="795">
        <f t="shared" si="10"/>
        <v>0</v>
      </c>
      <c r="W33" s="283" t="s">
        <v>414</v>
      </c>
      <c r="X33" s="793">
        <v>3</v>
      </c>
      <c r="Y33" s="283">
        <v>98</v>
      </c>
      <c r="Z33" s="283">
        <v>294</v>
      </c>
      <c r="AA33" s="795">
        <v>0</v>
      </c>
      <c r="AB33" s="356">
        <v>98</v>
      </c>
      <c r="AC33" s="283">
        <v>0</v>
      </c>
      <c r="AD33" s="356" t="s">
        <v>377</v>
      </c>
      <c r="AE33" s="795">
        <v>23.520878138130836</v>
      </c>
      <c r="AF33" s="795">
        <v>47.041756276261673</v>
      </c>
    </row>
    <row r="34" spans="1:32" x14ac:dyDescent="0.2">
      <c r="A34" s="283" t="s">
        <v>415</v>
      </c>
      <c r="B34" s="793">
        <v>1</v>
      </c>
      <c r="C34" s="283">
        <v>130</v>
      </c>
      <c r="D34" s="283">
        <f t="shared" si="11"/>
        <v>130</v>
      </c>
      <c r="E34" s="795">
        <v>0</v>
      </c>
      <c r="F34" s="356">
        <f t="shared" si="14"/>
        <v>130</v>
      </c>
      <c r="G34" s="283">
        <f t="shared" si="0"/>
        <v>0</v>
      </c>
      <c r="H34" s="356" t="s">
        <v>377</v>
      </c>
      <c r="I34" s="795">
        <f t="shared" si="1"/>
        <v>10.400388292370778</v>
      </c>
      <c r="J34" s="795">
        <f t="shared" si="13"/>
        <v>20.800776584741556</v>
      </c>
      <c r="K34" s="755"/>
      <c r="M34" s="793">
        <f t="shared" si="2"/>
        <v>0</v>
      </c>
      <c r="N34" s="283">
        <f t="shared" si="3"/>
        <v>0</v>
      </c>
      <c r="O34" s="283">
        <f t="shared" si="4"/>
        <v>0</v>
      </c>
      <c r="P34" s="795">
        <f t="shared" si="5"/>
        <v>0</v>
      </c>
      <c r="Q34" s="356">
        <f t="shared" si="6"/>
        <v>0</v>
      </c>
      <c r="R34" s="283">
        <f t="shared" si="7"/>
        <v>0</v>
      </c>
      <c r="S34" s="356" t="str">
        <f t="shared" si="8"/>
        <v/>
      </c>
      <c r="T34" s="795">
        <f t="shared" si="9"/>
        <v>0</v>
      </c>
      <c r="U34" s="795">
        <f t="shared" si="10"/>
        <v>0</v>
      </c>
      <c r="W34" s="283" t="s">
        <v>415</v>
      </c>
      <c r="X34" s="793">
        <v>1</v>
      </c>
      <c r="Y34" s="283">
        <v>130</v>
      </c>
      <c r="Z34" s="283">
        <v>130</v>
      </c>
      <c r="AA34" s="795">
        <v>0</v>
      </c>
      <c r="AB34" s="356">
        <v>130</v>
      </c>
      <c r="AC34" s="283">
        <v>0</v>
      </c>
      <c r="AD34" s="356" t="s">
        <v>377</v>
      </c>
      <c r="AE34" s="795">
        <v>10.400388292370778</v>
      </c>
      <c r="AF34" s="795">
        <v>20.800776584741556</v>
      </c>
    </row>
    <row r="35" spans="1:32" x14ac:dyDescent="0.2">
      <c r="A35" s="283" t="s">
        <v>416</v>
      </c>
      <c r="B35" s="793">
        <v>1</v>
      </c>
      <c r="C35" s="283">
        <v>239</v>
      </c>
      <c r="D35" s="283">
        <f t="shared" si="11"/>
        <v>239</v>
      </c>
      <c r="E35" s="795">
        <v>0</v>
      </c>
      <c r="F35" s="356">
        <f t="shared" si="14"/>
        <v>239</v>
      </c>
      <c r="G35" s="283">
        <f t="shared" si="0"/>
        <v>0</v>
      </c>
      <c r="H35" s="356" t="s">
        <v>377</v>
      </c>
      <c r="I35" s="795">
        <f t="shared" si="1"/>
        <v>19.120713860589355</v>
      </c>
      <c r="J35" s="795">
        <f t="shared" si="13"/>
        <v>38.241427721178709</v>
      </c>
      <c r="K35" s="755"/>
      <c r="M35" s="793">
        <f t="shared" si="2"/>
        <v>0</v>
      </c>
      <c r="N35" s="283">
        <f t="shared" si="3"/>
        <v>0</v>
      </c>
      <c r="O35" s="283">
        <f t="shared" si="4"/>
        <v>0</v>
      </c>
      <c r="P35" s="795">
        <f t="shared" si="5"/>
        <v>0</v>
      </c>
      <c r="Q35" s="356">
        <f t="shared" si="6"/>
        <v>0</v>
      </c>
      <c r="R35" s="283">
        <f t="shared" si="7"/>
        <v>0</v>
      </c>
      <c r="S35" s="356" t="str">
        <f t="shared" si="8"/>
        <v/>
      </c>
      <c r="T35" s="795">
        <f t="shared" si="9"/>
        <v>0</v>
      </c>
      <c r="U35" s="795">
        <f t="shared" si="10"/>
        <v>0</v>
      </c>
      <c r="W35" s="283" t="s">
        <v>416</v>
      </c>
      <c r="X35" s="793">
        <v>1</v>
      </c>
      <c r="Y35" s="283">
        <v>239</v>
      </c>
      <c r="Z35" s="283">
        <v>239</v>
      </c>
      <c r="AA35" s="795">
        <v>0</v>
      </c>
      <c r="AB35" s="356">
        <v>239</v>
      </c>
      <c r="AC35" s="283">
        <v>0</v>
      </c>
      <c r="AD35" s="356" t="s">
        <v>377</v>
      </c>
      <c r="AE35" s="795">
        <v>19.120713860589355</v>
      </c>
      <c r="AF35" s="795">
        <v>38.241427721178709</v>
      </c>
    </row>
    <row r="36" spans="1:32" x14ac:dyDescent="0.2">
      <c r="A36" s="283" t="s">
        <v>417</v>
      </c>
      <c r="B36" s="793">
        <v>1</v>
      </c>
      <c r="C36" s="283">
        <v>200</v>
      </c>
      <c r="D36" s="283">
        <f t="shared" si="11"/>
        <v>200</v>
      </c>
      <c r="E36" s="795">
        <v>1</v>
      </c>
      <c r="F36" s="356">
        <f t="shared" si="14"/>
        <v>200</v>
      </c>
      <c r="G36" s="283">
        <f t="shared" si="0"/>
        <v>200</v>
      </c>
      <c r="H36" s="356" t="s">
        <v>377</v>
      </c>
      <c r="I36" s="795">
        <f t="shared" si="1"/>
        <v>16.000597372878119</v>
      </c>
      <c r="J36" s="795">
        <f t="shared" si="13"/>
        <v>48.001792118634356</v>
      </c>
      <c r="K36" s="755"/>
      <c r="M36" s="793">
        <f t="shared" si="2"/>
        <v>0</v>
      </c>
      <c r="N36" s="283">
        <f t="shared" si="3"/>
        <v>0</v>
      </c>
      <c r="O36" s="283">
        <f t="shared" si="4"/>
        <v>0</v>
      </c>
      <c r="P36" s="795">
        <f t="shared" si="5"/>
        <v>0</v>
      </c>
      <c r="Q36" s="356">
        <f t="shared" si="6"/>
        <v>0</v>
      </c>
      <c r="R36" s="283">
        <f t="shared" si="7"/>
        <v>0</v>
      </c>
      <c r="S36" s="356" t="str">
        <f t="shared" si="8"/>
        <v/>
      </c>
      <c r="T36" s="795">
        <f t="shared" si="9"/>
        <v>0</v>
      </c>
      <c r="U36" s="795">
        <f t="shared" si="10"/>
        <v>0</v>
      </c>
      <c r="W36" s="283" t="s">
        <v>418</v>
      </c>
      <c r="X36" s="793">
        <v>1</v>
      </c>
      <c r="Y36" s="283">
        <v>200</v>
      </c>
      <c r="Z36" s="283">
        <v>200</v>
      </c>
      <c r="AA36" s="795">
        <v>1</v>
      </c>
      <c r="AB36" s="356">
        <v>200</v>
      </c>
      <c r="AC36" s="283">
        <v>200</v>
      </c>
      <c r="AD36" s="356" t="s">
        <v>377</v>
      </c>
      <c r="AE36" s="795">
        <v>16.000597372878119</v>
      </c>
      <c r="AF36" s="795">
        <v>48.001792118634356</v>
      </c>
    </row>
    <row r="37" spans="1:32" x14ac:dyDescent="0.2">
      <c r="A37" s="283" t="s">
        <v>419</v>
      </c>
      <c r="B37" s="793">
        <v>7</v>
      </c>
      <c r="C37" s="283">
        <v>80</v>
      </c>
      <c r="D37" s="283">
        <f t="shared" si="11"/>
        <v>560</v>
      </c>
      <c r="E37" s="795">
        <v>2</v>
      </c>
      <c r="F37" s="356">
        <f t="shared" si="14"/>
        <v>80</v>
      </c>
      <c r="G37" s="283">
        <f t="shared" si="0"/>
        <v>160</v>
      </c>
      <c r="H37" s="356" t="s">
        <v>377</v>
      </c>
      <c r="I37" s="795">
        <f t="shared" si="1"/>
        <v>44.801672644058733</v>
      </c>
      <c r="J37" s="795">
        <f t="shared" si="13"/>
        <v>102.40382318641997</v>
      </c>
      <c r="K37" s="755"/>
      <c r="M37" s="793">
        <f t="shared" si="2"/>
        <v>0</v>
      </c>
      <c r="N37" s="283">
        <f t="shared" si="3"/>
        <v>0</v>
      </c>
      <c r="O37" s="283">
        <f t="shared" si="4"/>
        <v>0</v>
      </c>
      <c r="P37" s="795">
        <f t="shared" si="5"/>
        <v>0</v>
      </c>
      <c r="Q37" s="356">
        <f t="shared" si="6"/>
        <v>0</v>
      </c>
      <c r="R37" s="283">
        <f t="shared" si="7"/>
        <v>0</v>
      </c>
      <c r="S37" s="356" t="str">
        <f t="shared" si="8"/>
        <v/>
      </c>
      <c r="T37" s="795">
        <f t="shared" si="9"/>
        <v>0</v>
      </c>
      <c r="U37" s="795">
        <f t="shared" si="10"/>
        <v>0</v>
      </c>
      <c r="W37" s="283" t="s">
        <v>419</v>
      </c>
      <c r="X37" s="793">
        <v>7</v>
      </c>
      <c r="Y37" s="283">
        <v>80</v>
      </c>
      <c r="Z37" s="283">
        <v>560</v>
      </c>
      <c r="AA37" s="795">
        <v>2</v>
      </c>
      <c r="AB37" s="356">
        <v>80</v>
      </c>
      <c r="AC37" s="283">
        <v>160</v>
      </c>
      <c r="AD37" s="356" t="s">
        <v>377</v>
      </c>
      <c r="AE37" s="795">
        <v>44.801672644058733</v>
      </c>
      <c r="AF37" s="795">
        <v>102.40382318641997</v>
      </c>
    </row>
    <row r="38" spans="1:32" x14ac:dyDescent="0.2">
      <c r="A38" s="283" t="s">
        <v>420</v>
      </c>
      <c r="B38" s="793">
        <v>2</v>
      </c>
      <c r="C38" s="283">
        <v>76</v>
      </c>
      <c r="D38" s="283">
        <f t="shared" si="11"/>
        <v>152</v>
      </c>
      <c r="E38" s="795">
        <v>1</v>
      </c>
      <c r="F38" s="356">
        <f t="shared" si="14"/>
        <v>76</v>
      </c>
      <c r="G38" s="283">
        <f t="shared" si="0"/>
        <v>76</v>
      </c>
      <c r="H38" s="356" t="s">
        <v>377</v>
      </c>
      <c r="I38" s="795">
        <f t="shared" si="1"/>
        <v>12.160454003387372</v>
      </c>
      <c r="J38" s="795">
        <f t="shared" si="13"/>
        <v>30.40113500846843</v>
      </c>
      <c r="K38" s="755"/>
      <c r="M38" s="793">
        <f t="shared" si="2"/>
        <v>0</v>
      </c>
      <c r="N38" s="283">
        <f t="shared" si="3"/>
        <v>0</v>
      </c>
      <c r="O38" s="283">
        <f t="shared" si="4"/>
        <v>0</v>
      </c>
      <c r="P38" s="795">
        <f t="shared" si="5"/>
        <v>0</v>
      </c>
      <c r="Q38" s="356">
        <f t="shared" si="6"/>
        <v>0</v>
      </c>
      <c r="R38" s="283">
        <f t="shared" si="7"/>
        <v>0</v>
      </c>
      <c r="S38" s="356" t="str">
        <f t="shared" si="8"/>
        <v/>
      </c>
      <c r="T38" s="795">
        <f t="shared" si="9"/>
        <v>0</v>
      </c>
      <c r="U38" s="795">
        <f t="shared" si="10"/>
        <v>0</v>
      </c>
      <c r="W38" s="283" t="s">
        <v>420</v>
      </c>
      <c r="X38" s="793">
        <v>2</v>
      </c>
      <c r="Y38" s="283">
        <v>76</v>
      </c>
      <c r="Z38" s="283">
        <v>152</v>
      </c>
      <c r="AA38" s="795">
        <v>1</v>
      </c>
      <c r="AB38" s="356">
        <v>76</v>
      </c>
      <c r="AC38" s="283">
        <v>76</v>
      </c>
      <c r="AD38" s="356" t="s">
        <v>377</v>
      </c>
      <c r="AE38" s="795">
        <v>12.160454003387372</v>
      </c>
      <c r="AF38" s="795">
        <v>30.40113500846843</v>
      </c>
    </row>
    <row r="39" spans="1:32" x14ac:dyDescent="0.2">
      <c r="A39" s="283" t="s">
        <v>421</v>
      </c>
      <c r="B39" s="793">
        <v>3</v>
      </c>
      <c r="C39" s="283">
        <v>82</v>
      </c>
      <c r="D39" s="283">
        <f t="shared" si="11"/>
        <v>246</v>
      </c>
      <c r="E39" s="795">
        <v>5</v>
      </c>
      <c r="F39" s="356">
        <f t="shared" si="14"/>
        <v>82</v>
      </c>
      <c r="G39" s="283">
        <f t="shared" si="0"/>
        <v>410</v>
      </c>
      <c r="H39" s="356" t="s">
        <v>377</v>
      </c>
      <c r="I39" s="795">
        <f t="shared" si="1"/>
        <v>19.680734768640086</v>
      </c>
      <c r="J39" s="795">
        <f t="shared" si="13"/>
        <v>72.162694151680313</v>
      </c>
      <c r="K39" s="755"/>
      <c r="M39" s="793">
        <f t="shared" si="2"/>
        <v>0</v>
      </c>
      <c r="N39" s="283">
        <f t="shared" si="3"/>
        <v>0</v>
      </c>
      <c r="O39" s="283">
        <f t="shared" si="4"/>
        <v>0</v>
      </c>
      <c r="P39" s="795">
        <f t="shared" si="5"/>
        <v>0</v>
      </c>
      <c r="Q39" s="356">
        <f t="shared" si="6"/>
        <v>0</v>
      </c>
      <c r="R39" s="283">
        <f t="shared" si="7"/>
        <v>0</v>
      </c>
      <c r="S39" s="356" t="str">
        <f t="shared" si="8"/>
        <v/>
      </c>
      <c r="T39" s="795">
        <f t="shared" si="9"/>
        <v>0</v>
      </c>
      <c r="U39" s="795">
        <f t="shared" si="10"/>
        <v>0</v>
      </c>
      <c r="W39" s="283" t="s">
        <v>421</v>
      </c>
      <c r="X39" s="793">
        <v>3</v>
      </c>
      <c r="Y39" s="283">
        <v>82</v>
      </c>
      <c r="Z39" s="283">
        <v>246</v>
      </c>
      <c r="AA39" s="795">
        <v>5</v>
      </c>
      <c r="AB39" s="356">
        <v>82</v>
      </c>
      <c r="AC39" s="283">
        <v>410</v>
      </c>
      <c r="AD39" s="356" t="s">
        <v>377</v>
      </c>
      <c r="AE39" s="795">
        <v>19.680734768640086</v>
      </c>
      <c r="AF39" s="795">
        <v>72.162694151680313</v>
      </c>
    </row>
    <row r="40" spans="1:32" x14ac:dyDescent="0.2">
      <c r="A40" s="283" t="s">
        <v>422</v>
      </c>
      <c r="B40" s="793">
        <v>0</v>
      </c>
      <c r="C40" s="283">
        <v>101</v>
      </c>
      <c r="D40" s="283">
        <f t="shared" si="11"/>
        <v>0</v>
      </c>
      <c r="E40" s="795">
        <v>3</v>
      </c>
      <c r="F40" s="356">
        <v>101</v>
      </c>
      <c r="G40" s="283">
        <f t="shared" si="0"/>
        <v>303</v>
      </c>
      <c r="H40" s="356" t="s">
        <v>377</v>
      </c>
      <c r="I40" s="795">
        <f t="shared" si="1"/>
        <v>0</v>
      </c>
      <c r="J40" s="795">
        <f t="shared" si="13"/>
        <v>24.24090501991035</v>
      </c>
      <c r="K40" s="755"/>
      <c r="M40" s="793">
        <f t="shared" si="2"/>
        <v>0</v>
      </c>
      <c r="N40" s="283">
        <f t="shared" si="3"/>
        <v>0</v>
      </c>
      <c r="O40" s="283">
        <f t="shared" si="4"/>
        <v>0</v>
      </c>
      <c r="P40" s="795">
        <f t="shared" si="5"/>
        <v>0</v>
      </c>
      <c r="Q40" s="356">
        <f t="shared" si="6"/>
        <v>0</v>
      </c>
      <c r="R40" s="283">
        <f t="shared" si="7"/>
        <v>0</v>
      </c>
      <c r="S40" s="356" t="str">
        <f t="shared" si="8"/>
        <v/>
      </c>
      <c r="T40" s="795">
        <f t="shared" si="9"/>
        <v>0</v>
      </c>
      <c r="U40" s="795">
        <f t="shared" si="10"/>
        <v>0</v>
      </c>
      <c r="W40" s="283" t="s">
        <v>422</v>
      </c>
      <c r="X40" s="793">
        <v>0</v>
      </c>
      <c r="Y40" s="283">
        <v>101</v>
      </c>
      <c r="Z40" s="283">
        <v>0</v>
      </c>
      <c r="AA40" s="795">
        <v>3</v>
      </c>
      <c r="AB40" s="356">
        <v>101</v>
      </c>
      <c r="AC40" s="283">
        <v>303</v>
      </c>
      <c r="AD40" s="356" t="s">
        <v>377</v>
      </c>
      <c r="AE40" s="795">
        <v>0</v>
      </c>
      <c r="AF40" s="795">
        <v>24.24090501991035</v>
      </c>
    </row>
    <row r="41" spans="1:32" x14ac:dyDescent="0.2">
      <c r="A41" s="283" t="s">
        <v>423</v>
      </c>
      <c r="B41" s="793">
        <v>10</v>
      </c>
      <c r="C41" s="283">
        <v>160</v>
      </c>
      <c r="D41" s="283">
        <f t="shared" si="11"/>
        <v>1600</v>
      </c>
      <c r="E41" s="795">
        <v>6</v>
      </c>
      <c r="F41" s="356">
        <f>+C41</f>
        <v>160</v>
      </c>
      <c r="G41" s="283">
        <f t="shared" si="0"/>
        <v>960</v>
      </c>
      <c r="H41" s="356" t="s">
        <v>377</v>
      </c>
      <c r="I41" s="795">
        <f t="shared" si="1"/>
        <v>128.00477898302495</v>
      </c>
      <c r="J41" s="795">
        <f t="shared" si="13"/>
        <v>332.81242535586489</v>
      </c>
      <c r="K41" s="755"/>
      <c r="M41" s="793">
        <f t="shared" si="2"/>
        <v>0</v>
      </c>
      <c r="N41" s="283">
        <f t="shared" si="3"/>
        <v>0</v>
      </c>
      <c r="O41" s="283">
        <f t="shared" si="4"/>
        <v>0</v>
      </c>
      <c r="P41" s="795">
        <f t="shared" si="5"/>
        <v>0</v>
      </c>
      <c r="Q41" s="356">
        <f t="shared" si="6"/>
        <v>0</v>
      </c>
      <c r="R41" s="283">
        <f t="shared" si="7"/>
        <v>0</v>
      </c>
      <c r="S41" s="356" t="str">
        <f t="shared" si="8"/>
        <v/>
      </c>
      <c r="T41" s="795">
        <f t="shared" si="9"/>
        <v>0</v>
      </c>
      <c r="U41" s="795">
        <f t="shared" si="10"/>
        <v>0</v>
      </c>
      <c r="W41" s="283" t="s">
        <v>423</v>
      </c>
      <c r="X41" s="793">
        <v>10</v>
      </c>
      <c r="Y41" s="283">
        <v>160</v>
      </c>
      <c r="Z41" s="283">
        <v>1600</v>
      </c>
      <c r="AA41" s="795">
        <v>6</v>
      </c>
      <c r="AB41" s="356">
        <v>160</v>
      </c>
      <c r="AC41" s="283">
        <v>960</v>
      </c>
      <c r="AD41" s="356" t="s">
        <v>377</v>
      </c>
      <c r="AE41" s="795">
        <v>128.00477898302495</v>
      </c>
      <c r="AF41" s="795">
        <v>332.81242535586489</v>
      </c>
    </row>
    <row r="42" spans="1:32" x14ac:dyDescent="0.2">
      <c r="A42" s="800" t="s">
        <v>424</v>
      </c>
      <c r="B42" s="341">
        <v>1</v>
      </c>
      <c r="C42" s="283">
        <v>13</v>
      </c>
      <c r="D42" s="283">
        <f t="shared" si="11"/>
        <v>13</v>
      </c>
      <c r="E42" s="795">
        <v>1</v>
      </c>
      <c r="F42" s="356">
        <f>+C42</f>
        <v>13</v>
      </c>
      <c r="G42" s="283">
        <f>+E42*F42</f>
        <v>13</v>
      </c>
      <c r="H42" s="356" t="s">
        <v>377</v>
      </c>
      <c r="I42" s="795">
        <f t="shared" si="1"/>
        <v>1.0400388292370777</v>
      </c>
      <c r="J42" s="795">
        <f t="shared" si="13"/>
        <v>3.1201164877112331</v>
      </c>
      <c r="K42" s="755"/>
      <c r="M42" s="341">
        <f t="shared" si="2"/>
        <v>0</v>
      </c>
      <c r="N42" s="283">
        <f t="shared" si="3"/>
        <v>0</v>
      </c>
      <c r="O42" s="283">
        <f t="shared" si="4"/>
        <v>0</v>
      </c>
      <c r="P42" s="795">
        <f t="shared" si="5"/>
        <v>0</v>
      </c>
      <c r="Q42" s="356">
        <f t="shared" si="6"/>
        <v>0</v>
      </c>
      <c r="R42" s="283">
        <f t="shared" si="7"/>
        <v>0</v>
      </c>
      <c r="S42" s="356" t="str">
        <f t="shared" si="8"/>
        <v/>
      </c>
      <c r="T42" s="795">
        <f t="shared" si="9"/>
        <v>0</v>
      </c>
      <c r="U42" s="795">
        <f t="shared" si="10"/>
        <v>0</v>
      </c>
      <c r="W42" s="800" t="s">
        <v>424</v>
      </c>
      <c r="X42" s="341">
        <v>1</v>
      </c>
      <c r="Y42" s="283">
        <v>13</v>
      </c>
      <c r="Z42" s="283">
        <v>13</v>
      </c>
      <c r="AA42" s="795">
        <v>1</v>
      </c>
      <c r="AB42" s="356">
        <v>13</v>
      </c>
      <c r="AC42" s="283">
        <v>13</v>
      </c>
      <c r="AD42" s="356" t="s">
        <v>377</v>
      </c>
      <c r="AE42" s="795">
        <v>1.0400388292370777</v>
      </c>
      <c r="AF42" s="795">
        <v>3.1201164877112331</v>
      </c>
    </row>
    <row r="43" spans="1:32" x14ac:dyDescent="0.2">
      <c r="A43" s="283" t="s">
        <v>425</v>
      </c>
      <c r="B43" s="793">
        <v>1</v>
      </c>
      <c r="C43" s="283">
        <v>8</v>
      </c>
      <c r="D43" s="283">
        <f t="shared" si="11"/>
        <v>8</v>
      </c>
      <c r="E43" s="795">
        <v>0</v>
      </c>
      <c r="F43" s="257">
        <f>+C43</f>
        <v>8</v>
      </c>
      <c r="G43" s="283">
        <f>+F43*E43</f>
        <v>0</v>
      </c>
      <c r="H43" s="356" t="s">
        <v>377</v>
      </c>
      <c r="I43" s="795">
        <f t="shared" si="1"/>
        <v>0.64002389491512479</v>
      </c>
      <c r="J43" s="795">
        <f t="shared" si="13"/>
        <v>1.2800477898302496</v>
      </c>
      <c r="K43" s="755"/>
      <c r="M43" s="793">
        <f t="shared" si="2"/>
        <v>0</v>
      </c>
      <c r="N43" s="283">
        <f t="shared" si="3"/>
        <v>0</v>
      </c>
      <c r="O43" s="283">
        <f t="shared" si="4"/>
        <v>0</v>
      </c>
      <c r="P43" s="795">
        <f t="shared" si="5"/>
        <v>0</v>
      </c>
      <c r="Q43" s="257">
        <f t="shared" si="6"/>
        <v>0</v>
      </c>
      <c r="R43" s="283">
        <f t="shared" si="7"/>
        <v>0</v>
      </c>
      <c r="S43" s="356" t="str">
        <f t="shared" si="8"/>
        <v/>
      </c>
      <c r="T43" s="795">
        <f t="shared" si="9"/>
        <v>0</v>
      </c>
      <c r="U43" s="795">
        <f t="shared" si="10"/>
        <v>0</v>
      </c>
      <c r="W43" s="283" t="s">
        <v>425</v>
      </c>
      <c r="X43" s="793">
        <v>1</v>
      </c>
      <c r="Y43" s="283">
        <v>8</v>
      </c>
      <c r="Z43" s="283">
        <v>8</v>
      </c>
      <c r="AA43" s="795">
        <v>0</v>
      </c>
      <c r="AB43" s="257">
        <v>8</v>
      </c>
      <c r="AC43" s="283">
        <v>0</v>
      </c>
      <c r="AD43" s="356" t="s">
        <v>377</v>
      </c>
      <c r="AE43" s="795">
        <v>0.64002389491512479</v>
      </c>
      <c r="AF43" s="795">
        <v>1.2800477898302496</v>
      </c>
    </row>
    <row r="44" spans="1:32" x14ac:dyDescent="0.2">
      <c r="A44" s="283"/>
      <c r="B44" s="793"/>
      <c r="C44" s="283"/>
      <c r="D44" s="801"/>
      <c r="E44" s="801"/>
      <c r="F44" s="795"/>
      <c r="G44" s="795"/>
      <c r="H44" s="802"/>
      <c r="I44" s="795"/>
      <c r="J44" s="795"/>
      <c r="K44" s="755"/>
      <c r="M44" s="793">
        <f t="shared" si="2"/>
        <v>0</v>
      </c>
      <c r="N44" s="283">
        <f t="shared" si="3"/>
        <v>0</v>
      </c>
      <c r="O44" s="801">
        <f t="shared" si="4"/>
        <v>0</v>
      </c>
      <c r="P44" s="801">
        <f t="shared" si="5"/>
        <v>0</v>
      </c>
      <c r="Q44" s="795">
        <f t="shared" si="6"/>
        <v>0</v>
      </c>
      <c r="R44" s="795">
        <f t="shared" si="7"/>
        <v>0</v>
      </c>
      <c r="S44" s="802">
        <f t="shared" si="8"/>
        <v>0</v>
      </c>
      <c r="T44" s="795">
        <f t="shared" si="9"/>
        <v>0</v>
      </c>
      <c r="U44" s="795">
        <f t="shared" si="10"/>
        <v>0</v>
      </c>
      <c r="W44" s="283"/>
      <c r="X44" s="793"/>
      <c r="Y44" s="283"/>
      <c r="Z44" s="801"/>
      <c r="AA44" s="801"/>
      <c r="AB44" s="795"/>
      <c r="AC44" s="795"/>
      <c r="AD44" s="802"/>
      <c r="AE44" s="795"/>
      <c r="AF44" s="795"/>
    </row>
    <row r="45" spans="1:32" ht="5.0999999999999996" customHeight="1" x14ac:dyDescent="0.2">
      <c r="A45" s="803"/>
      <c r="B45" s="804"/>
      <c r="C45" s="805"/>
      <c r="D45" s="805"/>
      <c r="E45" s="805"/>
      <c r="F45" s="792"/>
      <c r="G45" s="792"/>
      <c r="H45" s="806"/>
      <c r="I45" s="807"/>
      <c r="J45" s="792"/>
      <c r="K45" s="755"/>
      <c r="M45" s="804"/>
      <c r="N45" s="805"/>
      <c r="O45" s="805"/>
      <c r="P45" s="805"/>
      <c r="Q45" s="792"/>
      <c r="R45" s="792"/>
      <c r="S45" s="806"/>
      <c r="T45" s="807"/>
      <c r="U45" s="792"/>
      <c r="W45" s="803"/>
      <c r="X45" s="804"/>
      <c r="Y45" s="805"/>
      <c r="Z45" s="805"/>
      <c r="AA45" s="805"/>
      <c r="AB45" s="792"/>
      <c r="AC45" s="792"/>
      <c r="AD45" s="806"/>
      <c r="AE45" s="807"/>
      <c r="AF45" s="792"/>
    </row>
    <row r="46" spans="1:32" ht="12.75" customHeight="1" x14ac:dyDescent="0.2">
      <c r="A46" s="808" t="s">
        <v>426</v>
      </c>
      <c r="B46" s="809">
        <f>SUM(B15:B45)</f>
        <v>57</v>
      </c>
      <c r="C46" s="810"/>
      <c r="D46" s="810">
        <f>SUM(D15:D45)</f>
        <v>4331</v>
      </c>
      <c r="E46" s="809">
        <f>SUM(E15:E45)</f>
        <v>34</v>
      </c>
      <c r="F46" s="811"/>
      <c r="G46" s="810">
        <f>SUM(G15:G45)</f>
        <v>4431</v>
      </c>
      <c r="H46" s="812"/>
      <c r="I46" s="811">
        <f>SUM(I15:I45)</f>
        <v>346.49293610967567</v>
      </c>
      <c r="J46" s="810">
        <f>SUM(J15:J45)</f>
        <v>1047.4791070154658</v>
      </c>
      <c r="K46" s="755"/>
      <c r="M46" s="813">
        <f t="shared" ref="M46:R46" si="15">IFERROR(B46-X46,"")</f>
        <v>0</v>
      </c>
      <c r="N46" s="810">
        <f t="shared" si="15"/>
        <v>0</v>
      </c>
      <c r="O46" s="810">
        <f t="shared" si="15"/>
        <v>0</v>
      </c>
      <c r="P46" s="809">
        <f t="shared" si="15"/>
        <v>-1</v>
      </c>
      <c r="Q46" s="811">
        <f t="shared" si="15"/>
        <v>0</v>
      </c>
      <c r="R46" s="810">
        <f t="shared" si="15"/>
        <v>-900</v>
      </c>
      <c r="S46" s="812"/>
      <c r="T46" s="811">
        <f>IFERROR(I46-AE46,"")</f>
        <v>0</v>
      </c>
      <c r="U46" s="810">
        <f>IFERROR(J46-AF46,"")</f>
        <v>-72.002688177951313</v>
      </c>
      <c r="W46" s="808" t="s">
        <v>426</v>
      </c>
      <c r="X46" s="813">
        <v>57</v>
      </c>
      <c r="Y46" s="814"/>
      <c r="Z46" s="814">
        <v>4331</v>
      </c>
      <c r="AA46" s="813">
        <v>35</v>
      </c>
      <c r="AB46" s="815"/>
      <c r="AC46" s="815">
        <v>5331</v>
      </c>
      <c r="AD46" s="816"/>
      <c r="AE46" s="817">
        <v>346.49293610967567</v>
      </c>
      <c r="AF46" s="815">
        <v>1119.4817951934172</v>
      </c>
    </row>
    <row r="47" spans="1:32" ht="5.0999999999999996" customHeight="1" x14ac:dyDescent="0.2">
      <c r="A47" s="818"/>
      <c r="B47" s="819"/>
      <c r="C47" s="820"/>
      <c r="D47" s="820"/>
      <c r="E47" s="758"/>
      <c r="F47" s="758"/>
      <c r="G47" s="758"/>
      <c r="H47" s="821"/>
      <c r="I47" s="821"/>
      <c r="J47" s="822"/>
      <c r="K47" s="823"/>
      <c r="M47" s="819"/>
      <c r="N47" s="820"/>
      <c r="O47" s="824"/>
      <c r="P47" s="818"/>
      <c r="Q47" s="758"/>
      <c r="R47" s="825"/>
      <c r="S47" s="821"/>
      <c r="T47" s="821"/>
      <c r="U47" s="822"/>
      <c r="W47" s="818"/>
      <c r="X47" s="819"/>
      <c r="Y47" s="820"/>
      <c r="Z47" s="824"/>
      <c r="AA47" s="818"/>
      <c r="AB47" s="758"/>
      <c r="AC47" s="825"/>
      <c r="AD47" s="821"/>
      <c r="AE47" s="821"/>
      <c r="AF47" s="822"/>
    </row>
    <row r="48" spans="1:32" x14ac:dyDescent="0.2">
      <c r="A48" s="826" t="s">
        <v>427</v>
      </c>
      <c r="B48" s="827"/>
      <c r="C48" s="828"/>
      <c r="D48" s="828"/>
      <c r="E48" s="829"/>
      <c r="F48" s="828"/>
      <c r="G48" s="828"/>
      <c r="H48" s="830"/>
      <c r="I48" s="830"/>
      <c r="J48" s="77"/>
      <c r="K48" s="831"/>
      <c r="M48" s="827"/>
      <c r="N48" s="828"/>
      <c r="O48" s="832"/>
      <c r="P48" s="833"/>
      <c r="Q48" s="828"/>
      <c r="R48" s="832"/>
      <c r="S48" s="830"/>
      <c r="T48" s="830"/>
      <c r="U48" s="77"/>
      <c r="W48" s="826" t="s">
        <v>427</v>
      </c>
      <c r="X48" s="827"/>
      <c r="Y48" s="828"/>
      <c r="Z48" s="832"/>
      <c r="AA48" s="833"/>
      <c r="AB48" s="828"/>
      <c r="AC48" s="832"/>
      <c r="AD48" s="830"/>
      <c r="AE48" s="830"/>
      <c r="AF48" s="77"/>
    </row>
    <row r="49" spans="1:32" x14ac:dyDescent="0.2">
      <c r="A49" s="625" t="s">
        <v>428</v>
      </c>
      <c r="B49" s="834"/>
      <c r="C49" s="835"/>
      <c r="D49" s="835"/>
      <c r="E49" s="184"/>
      <c r="F49" s="835"/>
      <c r="G49" s="835"/>
      <c r="H49" s="154"/>
      <c r="I49" s="836"/>
      <c r="J49" s="572">
        <v>982.27</v>
      </c>
      <c r="K49" s="154"/>
      <c r="M49" s="837"/>
      <c r="N49" s="838"/>
      <c r="O49" s="838"/>
      <c r="P49" s="839"/>
      <c r="Q49" s="838"/>
      <c r="R49" s="838"/>
      <c r="S49" s="840"/>
      <c r="T49" s="841"/>
      <c r="U49" s="842">
        <f t="shared" ref="U49:U54" si="16">IFERROR(J49-AF49,"")</f>
        <v>0</v>
      </c>
      <c r="W49" s="625" t="s">
        <v>428</v>
      </c>
      <c r="X49" s="837"/>
      <c r="Y49" s="838"/>
      <c r="Z49" s="838"/>
      <c r="AA49" s="839"/>
      <c r="AB49" s="838"/>
      <c r="AC49" s="838"/>
      <c r="AD49" s="840"/>
      <c r="AE49" s="841"/>
      <c r="AF49" s="842">
        <v>982.27</v>
      </c>
    </row>
    <row r="50" spans="1:32" x14ac:dyDescent="0.2">
      <c r="A50" s="622" t="s">
        <v>429</v>
      </c>
      <c r="B50" s="834"/>
      <c r="C50" s="835"/>
      <c r="D50" s="835"/>
      <c r="E50" s="184"/>
      <c r="F50" s="835"/>
      <c r="G50" s="835"/>
      <c r="H50" s="154"/>
      <c r="I50" s="836"/>
      <c r="J50" s="843">
        <v>22.88</v>
      </c>
      <c r="K50" s="328"/>
      <c r="M50" s="834"/>
      <c r="N50" s="835"/>
      <c r="O50" s="835"/>
      <c r="P50" s="184"/>
      <c r="Q50" s="835"/>
      <c r="R50" s="835"/>
      <c r="S50" s="154"/>
      <c r="T50" s="836"/>
      <c r="U50" s="843">
        <f t="shared" si="16"/>
        <v>0</v>
      </c>
      <c r="W50" s="622" t="s">
        <v>429</v>
      </c>
      <c r="X50" s="834"/>
      <c r="Y50" s="835"/>
      <c r="Z50" s="835"/>
      <c r="AA50" s="184"/>
      <c r="AB50" s="835"/>
      <c r="AC50" s="835"/>
      <c r="AD50" s="154"/>
      <c r="AE50" s="836"/>
      <c r="AF50" s="843">
        <v>22.88</v>
      </c>
    </row>
    <row r="51" spans="1:32" x14ac:dyDescent="0.2">
      <c r="A51" s="622" t="s">
        <v>430</v>
      </c>
      <c r="B51" s="834"/>
      <c r="C51" s="835"/>
      <c r="D51" s="835"/>
      <c r="E51" s="184"/>
      <c r="F51" s="835"/>
      <c r="G51" s="835"/>
      <c r="H51" s="154"/>
      <c r="I51" s="836"/>
      <c r="J51" s="843">
        <v>7.08</v>
      </c>
      <c r="K51" s="844"/>
      <c r="M51" s="834"/>
      <c r="N51" s="835"/>
      <c r="O51" s="835"/>
      <c r="P51" s="184"/>
      <c r="Q51" s="835"/>
      <c r="R51" s="835"/>
      <c r="S51" s="154"/>
      <c r="T51" s="836"/>
      <c r="U51" s="843">
        <f t="shared" si="16"/>
        <v>0</v>
      </c>
      <c r="W51" s="622" t="s">
        <v>431</v>
      </c>
      <c r="X51" s="834"/>
      <c r="Y51" s="835"/>
      <c r="Z51" s="835"/>
      <c r="AA51" s="184"/>
      <c r="AB51" s="835"/>
      <c r="AC51" s="835"/>
      <c r="AD51" s="154"/>
      <c r="AE51" s="836"/>
      <c r="AF51" s="843">
        <v>7.08</v>
      </c>
    </row>
    <row r="52" spans="1:32" x14ac:dyDescent="0.2">
      <c r="A52" s="622" t="s">
        <v>432</v>
      </c>
      <c r="B52" s="834"/>
      <c r="C52" s="835"/>
      <c r="D52" s="835"/>
      <c r="E52" s="184"/>
      <c r="F52" s="835"/>
      <c r="G52" s="835"/>
      <c r="H52" s="154"/>
      <c r="I52" s="836"/>
      <c r="J52" s="843">
        <v>612.49</v>
      </c>
      <c r="K52" s="844"/>
      <c r="M52" s="834"/>
      <c r="N52" s="835"/>
      <c r="O52" s="835"/>
      <c r="P52" s="184"/>
      <c r="Q52" s="835"/>
      <c r="R52" s="835"/>
      <c r="S52" s="154"/>
      <c r="T52" s="836"/>
      <c r="U52" s="843">
        <f t="shared" si="16"/>
        <v>0</v>
      </c>
      <c r="W52" s="622" t="s">
        <v>432</v>
      </c>
      <c r="X52" s="834"/>
      <c r="Y52" s="835"/>
      <c r="Z52" s="835"/>
      <c r="AA52" s="184"/>
      <c r="AB52" s="835"/>
      <c r="AC52" s="835"/>
      <c r="AD52" s="154"/>
      <c r="AE52" s="836"/>
      <c r="AF52" s="843">
        <v>612.49</v>
      </c>
    </row>
    <row r="53" spans="1:32" x14ac:dyDescent="0.2">
      <c r="A53" s="622" t="s">
        <v>433</v>
      </c>
      <c r="B53" s="834"/>
      <c r="C53" s="835"/>
      <c r="D53" s="835"/>
      <c r="E53" s="184"/>
      <c r="F53" s="835"/>
      <c r="G53" s="835"/>
      <c r="H53" s="154"/>
      <c r="I53" s="836"/>
      <c r="J53" s="843">
        <v>1429.29</v>
      </c>
      <c r="K53" s="844"/>
      <c r="M53" s="834"/>
      <c r="N53" s="835"/>
      <c r="O53" s="835"/>
      <c r="P53" s="184"/>
      <c r="Q53" s="835"/>
      <c r="R53" s="835"/>
      <c r="S53" s="154"/>
      <c r="T53" s="836"/>
      <c r="U53" s="843">
        <f t="shared" si="16"/>
        <v>0</v>
      </c>
      <c r="W53" s="622" t="s">
        <v>433</v>
      </c>
      <c r="X53" s="834"/>
      <c r="Y53" s="835"/>
      <c r="Z53" s="835"/>
      <c r="AA53" s="184"/>
      <c r="AB53" s="835"/>
      <c r="AC53" s="835"/>
      <c r="AD53" s="154"/>
      <c r="AE53" s="836"/>
      <c r="AF53" s="843">
        <v>1429.29</v>
      </c>
    </row>
    <row r="54" spans="1:32" x14ac:dyDescent="0.2">
      <c r="A54" s="622" t="s">
        <v>434</v>
      </c>
      <c r="B54" s="834"/>
      <c r="C54" s="835"/>
      <c r="D54" s="835"/>
      <c r="E54" s="184"/>
      <c r="F54" s="835"/>
      <c r="G54" s="835"/>
      <c r="H54" s="154"/>
      <c r="I54" s="836"/>
      <c r="J54" s="843">
        <v>1341.21</v>
      </c>
      <c r="K54" s="844"/>
      <c r="M54" s="834"/>
      <c r="N54" s="835"/>
      <c r="O54" s="835"/>
      <c r="P54" s="184"/>
      <c r="Q54" s="835"/>
      <c r="R54" s="835"/>
      <c r="S54" s="154"/>
      <c r="T54" s="836"/>
      <c r="U54" s="843">
        <f t="shared" si="16"/>
        <v>0</v>
      </c>
      <c r="W54" s="622" t="s">
        <v>434</v>
      </c>
      <c r="X54" s="834"/>
      <c r="Y54" s="835"/>
      <c r="Z54" s="835"/>
      <c r="AA54" s="184"/>
      <c r="AB54" s="835"/>
      <c r="AC54" s="835"/>
      <c r="AD54" s="154"/>
      <c r="AE54" s="836"/>
      <c r="AF54" s="843">
        <v>1341.21</v>
      </c>
    </row>
    <row r="55" spans="1:32" ht="5.0999999999999996" customHeight="1" x14ac:dyDescent="0.2">
      <c r="A55" s="653"/>
      <c r="B55" s="837"/>
      <c r="C55" s="838"/>
      <c r="D55" s="838"/>
      <c r="E55" s="839"/>
      <c r="F55" s="838"/>
      <c r="G55" s="838"/>
      <c r="H55" s="840"/>
      <c r="I55" s="841"/>
      <c r="J55" s="841"/>
      <c r="K55" s="844"/>
      <c r="M55" s="837"/>
      <c r="N55" s="838"/>
      <c r="O55" s="838"/>
      <c r="P55" s="839"/>
      <c r="Q55" s="838"/>
      <c r="R55" s="838"/>
      <c r="S55" s="840"/>
      <c r="T55" s="841"/>
      <c r="U55" s="841"/>
      <c r="W55" s="653"/>
      <c r="X55" s="837"/>
      <c r="Y55" s="838"/>
      <c r="Z55" s="838"/>
      <c r="AA55" s="839"/>
      <c r="AB55" s="838"/>
      <c r="AC55" s="838"/>
      <c r="AD55" s="840"/>
      <c r="AE55" s="841"/>
      <c r="AF55" s="841"/>
    </row>
    <row r="56" spans="1:32" ht="11.25" customHeight="1" x14ac:dyDescent="0.2">
      <c r="A56" s="808" t="s">
        <v>366</v>
      </c>
      <c r="B56" s="845"/>
      <c r="C56" s="333"/>
      <c r="D56" s="333"/>
      <c r="E56" s="333"/>
      <c r="F56" s="333"/>
      <c r="G56" s="333"/>
      <c r="H56" s="846"/>
      <c r="I56" s="847"/>
      <c r="J56" s="848">
        <f>SUM(J49:J55)</f>
        <v>4395.22</v>
      </c>
      <c r="K56" s="154"/>
      <c r="M56" s="845"/>
      <c r="N56" s="333"/>
      <c r="O56" s="333"/>
      <c r="P56" s="333"/>
      <c r="Q56" s="333"/>
      <c r="R56" s="333"/>
      <c r="S56" s="846"/>
      <c r="T56" s="847"/>
      <c r="U56" s="848">
        <f>IFERROR(J56-AF56,"")</f>
        <v>0</v>
      </c>
      <c r="W56" s="808" t="s">
        <v>366</v>
      </c>
      <c r="X56" s="845"/>
      <c r="Y56" s="333"/>
      <c r="Z56" s="333"/>
      <c r="AA56" s="333"/>
      <c r="AB56" s="333"/>
      <c r="AC56" s="333"/>
      <c r="AD56" s="846"/>
      <c r="AE56" s="847"/>
      <c r="AF56" s="848">
        <v>4395.22</v>
      </c>
    </row>
    <row r="57" spans="1:32" ht="5.0999999999999996" customHeight="1" x14ac:dyDescent="0.2">
      <c r="A57" s="653"/>
      <c r="B57" s="818"/>
      <c r="C57" s="172"/>
      <c r="D57" s="172"/>
      <c r="E57" s="172"/>
      <c r="F57" s="172"/>
      <c r="G57" s="172"/>
      <c r="H57" s="849"/>
      <c r="I57" s="850"/>
      <c r="J57" s="851"/>
      <c r="K57" s="823"/>
      <c r="M57" s="818"/>
      <c r="N57" s="172"/>
      <c r="O57" s="172"/>
      <c r="P57" s="172"/>
      <c r="Q57" s="172"/>
      <c r="R57" s="172"/>
      <c r="S57" s="849"/>
      <c r="T57" s="850"/>
      <c r="U57" s="851"/>
      <c r="W57" s="653"/>
      <c r="X57" s="818"/>
      <c r="Y57" s="172"/>
      <c r="Z57" s="172"/>
      <c r="AA57" s="172"/>
      <c r="AB57" s="172"/>
      <c r="AC57" s="172"/>
      <c r="AD57" s="849"/>
      <c r="AE57" s="850"/>
      <c r="AF57" s="851"/>
    </row>
    <row r="58" spans="1:32" ht="12.75" customHeight="1" x14ac:dyDescent="0.2">
      <c r="A58" s="771"/>
      <c r="B58" s="756"/>
      <c r="C58" s="146"/>
      <c r="D58" s="146"/>
      <c r="E58" s="146"/>
      <c r="F58" s="146"/>
      <c r="G58" s="146"/>
      <c r="H58" s="257"/>
      <c r="I58" s="852"/>
      <c r="J58" s="853"/>
      <c r="K58" s="823"/>
      <c r="M58" s="756"/>
      <c r="N58" s="146"/>
      <c r="O58" s="146"/>
      <c r="P58" s="146"/>
      <c r="Q58" s="146"/>
      <c r="R58" s="146"/>
      <c r="S58" s="257"/>
      <c r="T58" s="852"/>
      <c r="U58" s="853"/>
      <c r="W58" s="771"/>
      <c r="X58" s="756"/>
      <c r="Y58" s="146"/>
      <c r="Z58" s="146"/>
      <c r="AA58" s="146"/>
      <c r="AB58" s="146"/>
      <c r="AC58" s="146"/>
      <c r="AD58" s="257"/>
      <c r="AE58" s="852"/>
      <c r="AF58" s="853"/>
    </row>
    <row r="59" spans="1:32" ht="15.75" customHeight="1" x14ac:dyDescent="0.2">
      <c r="A59" s="854" t="s">
        <v>435</v>
      </c>
      <c r="B59" s="855"/>
      <c r="C59" s="856"/>
      <c r="D59" s="856"/>
      <c r="E59" s="857"/>
      <c r="F59" s="858"/>
      <c r="G59" s="859"/>
      <c r="H59" s="860"/>
      <c r="I59" s="861"/>
      <c r="J59" s="862">
        <v>-146.25</v>
      </c>
      <c r="K59" s="823"/>
      <c r="M59" s="855"/>
      <c r="N59" s="856"/>
      <c r="O59" s="856"/>
      <c r="P59" s="857"/>
      <c r="Q59" s="858"/>
      <c r="R59" s="859"/>
      <c r="S59" s="860"/>
      <c r="T59" s="861"/>
      <c r="U59" s="862">
        <f>IFERROR(J59-AF59,"")</f>
        <v>0</v>
      </c>
      <c r="W59" s="854" t="s">
        <v>435</v>
      </c>
      <c r="X59" s="855"/>
      <c r="Y59" s="856"/>
      <c r="Z59" s="856"/>
      <c r="AA59" s="857"/>
      <c r="AB59" s="858"/>
      <c r="AC59" s="859"/>
      <c r="AD59" s="860"/>
      <c r="AE59" s="861"/>
      <c r="AF59" s="862">
        <v>-146.25</v>
      </c>
    </row>
    <row r="60" spans="1:32" ht="9.75" customHeight="1" x14ac:dyDescent="0.2">
      <c r="A60" s="771"/>
      <c r="B60" s="756"/>
      <c r="C60" s="146"/>
      <c r="D60" s="146"/>
      <c r="E60" s="146"/>
      <c r="F60" s="146"/>
      <c r="G60" s="146"/>
      <c r="H60" s="257"/>
      <c r="I60" s="852"/>
      <c r="J60" s="853"/>
      <c r="K60" s="823"/>
      <c r="M60" s="756"/>
      <c r="N60" s="146"/>
      <c r="O60" s="146"/>
      <c r="P60" s="146"/>
      <c r="Q60" s="146"/>
      <c r="R60" s="146"/>
      <c r="S60" s="257"/>
      <c r="T60" s="852"/>
      <c r="U60" s="853"/>
      <c r="W60" s="771"/>
      <c r="X60" s="756"/>
      <c r="Y60" s="146"/>
      <c r="Z60" s="146"/>
      <c r="AA60" s="146"/>
      <c r="AB60" s="146"/>
      <c r="AC60" s="146"/>
      <c r="AD60" s="257"/>
      <c r="AE60" s="852"/>
      <c r="AF60" s="853"/>
    </row>
    <row r="61" spans="1:32" ht="14.25" customHeight="1" x14ac:dyDescent="0.2">
      <c r="A61" s="808" t="s">
        <v>436</v>
      </c>
      <c r="B61" s="863"/>
      <c r="C61" s="816"/>
      <c r="D61" s="816"/>
      <c r="E61" s="864"/>
      <c r="F61" s="865"/>
      <c r="G61" s="865"/>
      <c r="H61" s="865"/>
      <c r="I61" s="848"/>
      <c r="J61" s="848">
        <f>+J56+J46+J59</f>
        <v>5296.4491070154663</v>
      </c>
      <c r="K61" s="146"/>
      <c r="M61" s="863"/>
      <c r="N61" s="816"/>
      <c r="O61" s="816"/>
      <c r="P61" s="864"/>
      <c r="Q61" s="865"/>
      <c r="R61" s="865"/>
      <c r="S61" s="865"/>
      <c r="T61" s="848"/>
      <c r="U61" s="848">
        <f>IFERROR(J61-AF61,"")</f>
        <v>-72.002688177951313</v>
      </c>
      <c r="W61" s="808" t="s">
        <v>436</v>
      </c>
      <c r="X61" s="863"/>
      <c r="Y61" s="816"/>
      <c r="Z61" s="816"/>
      <c r="AA61" s="864"/>
      <c r="AB61" s="865"/>
      <c r="AC61" s="865"/>
      <c r="AD61" s="865"/>
      <c r="AE61" s="848"/>
      <c r="AF61" s="848">
        <v>5368.4517951934176</v>
      </c>
    </row>
    <row r="62" spans="1:32" ht="20.25" customHeight="1" x14ac:dyDescent="0.2">
      <c r="J62" s="258"/>
      <c r="K62" s="823"/>
    </row>
    <row r="63" spans="1:32" s="407" customFormat="1" outlineLevel="1" x14ac:dyDescent="0.2">
      <c r="C63" s="343"/>
      <c r="D63" s="343"/>
      <c r="E63" s="343"/>
    </row>
    <row r="64" spans="1:32" s="407" customFormat="1" outlineLevel="1" x14ac:dyDescent="0.2">
      <c r="C64" s="343"/>
      <c r="D64" s="343"/>
      <c r="E64" s="343"/>
    </row>
    <row r="65" spans="1:7" s="407" customFormat="1" ht="5.0999999999999996" customHeight="1" outlineLevel="1" x14ac:dyDescent="0.2">
      <c r="C65" s="343"/>
      <c r="D65" s="343"/>
      <c r="E65" s="343"/>
    </row>
    <row r="66" spans="1:7" s="407" customFormat="1" outlineLevel="1" x14ac:dyDescent="0.2">
      <c r="A66" s="29"/>
      <c r="C66" s="343"/>
      <c r="D66" s="343"/>
      <c r="E66" s="343"/>
      <c r="G66" s="866"/>
    </row>
    <row r="67" spans="1:7" s="407" customFormat="1" outlineLevel="1" x14ac:dyDescent="0.2">
      <c r="C67" s="343"/>
      <c r="D67" s="343"/>
      <c r="E67" s="343"/>
    </row>
    <row r="68" spans="1:7" s="407" customFormat="1" outlineLevel="1" x14ac:dyDescent="0.2">
      <c r="C68" s="343"/>
      <c r="D68" s="428"/>
      <c r="E68" s="343"/>
    </row>
    <row r="69" spans="1:7" s="407" customFormat="1" outlineLevel="1" x14ac:dyDescent="0.2">
      <c r="D69" s="343"/>
      <c r="E69" s="343"/>
    </row>
    <row r="70" spans="1:7" s="407" customFormat="1" outlineLevel="1" x14ac:dyDescent="0.2">
      <c r="D70" s="343"/>
      <c r="E70" s="343"/>
    </row>
    <row r="71" spans="1:7" s="407" customFormat="1" outlineLevel="1" x14ac:dyDescent="0.2">
      <c r="D71" s="343"/>
      <c r="E71" s="343"/>
    </row>
    <row r="72" spans="1:7" s="407" customFormat="1" ht="5.0999999999999996" customHeight="1" outlineLevel="1" x14ac:dyDescent="0.2">
      <c r="C72" s="343"/>
      <c r="D72" s="343"/>
      <c r="E72" s="343"/>
    </row>
    <row r="73" spans="1:7" s="407" customFormat="1" outlineLevel="1" x14ac:dyDescent="0.2">
      <c r="D73" s="428"/>
      <c r="E73" s="343"/>
    </row>
    <row r="74" spans="1:7" s="407" customFormat="1" outlineLevel="1" x14ac:dyDescent="0.2">
      <c r="D74" s="343"/>
      <c r="E74" s="343"/>
    </row>
    <row r="75" spans="1:7" x14ac:dyDescent="0.2">
      <c r="D75" s="258"/>
    </row>
    <row r="76" spans="1:7" x14ac:dyDescent="0.2">
      <c r="D76" s="258"/>
    </row>
  </sheetData>
  <mergeCells count="14">
    <mergeCell ref="M3:U4"/>
    <mergeCell ref="W3:AF4"/>
    <mergeCell ref="G6:J6"/>
    <mergeCell ref="R6:U6"/>
    <mergeCell ref="AC6:AF6"/>
    <mergeCell ref="S12:U12"/>
    <mergeCell ref="X12:Z12"/>
    <mergeCell ref="AA12:AC12"/>
    <mergeCell ref="AD12:AF12"/>
    <mergeCell ref="B12:D12"/>
    <mergeCell ref="E12:G12"/>
    <mergeCell ref="H12:J12"/>
    <mergeCell ref="M12:O12"/>
    <mergeCell ref="P12:R12"/>
  </mergeCells>
  <pageMargins left="1" right="0.75" top="0.75" bottom="0.5" header="0.5" footer="0.5"/>
  <pageSetup scale="69" orientation="landscape" r:id="rId1"/>
  <headerFooter>
    <oddFooter>&amp;L&amp;KFF0000Final Rate Application&amp;CPage &amp;P of &amp;N&amp;R02/10/2017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X102"/>
  <sheetViews>
    <sheetView showOutlineSymbols="0" zoomScaleNormal="100" workbookViewId="0"/>
  </sheetViews>
  <sheetFormatPr defaultRowHeight="12.75" outlineLevelRow="1" x14ac:dyDescent="0.2"/>
  <cols>
    <col min="1" max="1" width="47.7109375" style="12" customWidth="1"/>
    <col min="2" max="3" width="14.5703125" style="12" customWidth="1"/>
    <col min="4" max="4" width="10.5703125" style="12" customWidth="1"/>
    <col min="5" max="6" width="13" style="12" customWidth="1"/>
    <col min="7" max="7" width="1.28515625" style="12" customWidth="1"/>
    <col min="8" max="8" width="1.7109375" style="12" customWidth="1"/>
    <col min="9" max="9" width="11.28515625" style="12" bestFit="1" customWidth="1"/>
    <col min="10" max="10" width="10.140625" style="12" customWidth="1"/>
    <col min="11" max="11" width="9.140625" style="12"/>
    <col min="12" max="13" width="10.28515625" style="12" customWidth="1"/>
    <col min="14" max="14" width="2" style="12" customWidth="1"/>
    <col min="15" max="15" width="37.5703125" style="12" bestFit="1" customWidth="1"/>
    <col min="16" max="16" width="12.28515625" style="12" bestFit="1" customWidth="1"/>
    <col min="17" max="17" width="11.28515625" style="12" bestFit="1" customWidth="1"/>
    <col min="18" max="18" width="9.140625" style="12"/>
    <col min="19" max="20" width="11.28515625" style="12" bestFit="1" customWidth="1"/>
    <col min="21" max="16384" width="9.140625" style="12"/>
  </cols>
  <sheetData>
    <row r="1" spans="1:24" ht="12.75" customHeight="1" x14ac:dyDescent="0.2">
      <c r="A1" s="112" t="str">
        <f>B!$A$2</f>
        <v>Recology San Francisco</v>
      </c>
    </row>
    <row r="2" spans="1:24" ht="12.75" customHeight="1" x14ac:dyDescent="0.2">
      <c r="A2" s="436" t="s">
        <v>437</v>
      </c>
    </row>
    <row r="3" spans="1:24" ht="12.75" customHeight="1" x14ac:dyDescent="0.2">
      <c r="A3" s="265" t="s">
        <v>34</v>
      </c>
      <c r="I3" s="1522" t="s">
        <v>74</v>
      </c>
      <c r="J3" s="1523"/>
      <c r="K3" s="1523"/>
      <c r="L3" s="1523"/>
      <c r="M3" s="1524"/>
      <c r="N3" s="867"/>
      <c r="O3" s="1497" t="s">
        <v>75</v>
      </c>
      <c r="P3" s="1498"/>
      <c r="Q3" s="1498"/>
      <c r="R3" s="1498"/>
      <c r="S3" s="1498"/>
      <c r="T3" s="1499"/>
      <c r="U3" s="37"/>
      <c r="V3" s="37"/>
      <c r="W3" s="37"/>
      <c r="X3" s="37"/>
    </row>
    <row r="4" spans="1:24" ht="12.75" customHeight="1" x14ac:dyDescent="0.2">
      <c r="A4"/>
      <c r="I4" s="1531"/>
      <c r="J4" s="1527"/>
      <c r="K4" s="1527"/>
      <c r="L4" s="1527"/>
      <c r="M4" s="1528"/>
      <c r="N4" s="867"/>
      <c r="O4" s="1529"/>
      <c r="P4" s="1502"/>
      <c r="Q4" s="1502"/>
      <c r="R4" s="1502"/>
      <c r="S4" s="1502"/>
      <c r="T4" s="1503"/>
      <c r="U4" s="37"/>
      <c r="V4" s="37"/>
      <c r="W4" s="37"/>
      <c r="X4" s="37"/>
    </row>
    <row r="5" spans="1:24" x14ac:dyDescent="0.2">
      <c r="A5" s="349"/>
      <c r="D5" s="411" t="s">
        <v>382</v>
      </c>
      <c r="E5" s="868">
        <v>0.5</v>
      </c>
      <c r="F5" s="868">
        <v>0.5</v>
      </c>
      <c r="I5" s="869"/>
      <c r="J5" s="870"/>
      <c r="K5" s="871" t="s">
        <v>382</v>
      </c>
      <c r="L5" s="778">
        <v>0.5</v>
      </c>
      <c r="M5" s="779">
        <v>0.5</v>
      </c>
      <c r="O5" s="872"/>
      <c r="P5" s="870"/>
      <c r="Q5" s="870"/>
      <c r="R5" s="871" t="s">
        <v>382</v>
      </c>
      <c r="S5" s="778">
        <v>0.5</v>
      </c>
      <c r="T5" s="779">
        <v>0.5</v>
      </c>
    </row>
    <row r="6" spans="1:24" ht="17.25" customHeight="1" x14ac:dyDescent="0.2">
      <c r="A6" s="413"/>
      <c r="B6" s="1504" t="s">
        <v>386</v>
      </c>
      <c r="C6" s="1506"/>
      <c r="D6" s="873" t="s">
        <v>438</v>
      </c>
      <c r="E6" s="1579" t="s">
        <v>368</v>
      </c>
      <c r="F6" s="1580"/>
      <c r="I6" s="1504" t="s">
        <v>386</v>
      </c>
      <c r="J6" s="1506"/>
      <c r="K6" s="873" t="s">
        <v>438</v>
      </c>
      <c r="L6" s="1579" t="s">
        <v>368</v>
      </c>
      <c r="M6" s="1580"/>
      <c r="O6" s="327"/>
      <c r="P6" s="1581" t="s">
        <v>386</v>
      </c>
      <c r="Q6" s="1582"/>
      <c r="R6" s="874" t="s">
        <v>438</v>
      </c>
      <c r="S6" s="1583" t="s">
        <v>368</v>
      </c>
      <c r="T6" s="1584"/>
    </row>
    <row r="7" spans="1:24" ht="18" customHeight="1" x14ac:dyDescent="0.2">
      <c r="A7" s="347" t="s">
        <v>2</v>
      </c>
      <c r="B7" s="875" t="s">
        <v>99</v>
      </c>
      <c r="C7" s="876" t="s">
        <v>69</v>
      </c>
      <c r="D7" s="877" t="s">
        <v>439</v>
      </c>
      <c r="E7" s="875" t="s">
        <v>99</v>
      </c>
      <c r="F7" s="876" t="s">
        <v>69</v>
      </c>
      <c r="I7" s="875" t="s">
        <v>99</v>
      </c>
      <c r="J7" s="876" t="s">
        <v>69</v>
      </c>
      <c r="K7" s="877" t="s">
        <v>439</v>
      </c>
      <c r="L7" s="875" t="s">
        <v>99</v>
      </c>
      <c r="M7" s="876" t="s">
        <v>69</v>
      </c>
      <c r="O7" s="347" t="s">
        <v>2</v>
      </c>
      <c r="P7" s="875" t="s">
        <v>99</v>
      </c>
      <c r="Q7" s="876" t="s">
        <v>69</v>
      </c>
      <c r="R7" s="877" t="s">
        <v>439</v>
      </c>
      <c r="S7" s="875" t="s">
        <v>99</v>
      </c>
      <c r="T7" s="876" t="s">
        <v>69</v>
      </c>
    </row>
    <row r="8" spans="1:24" ht="12.75" customHeight="1" x14ac:dyDescent="0.2">
      <c r="A8" s="422" t="s">
        <v>440</v>
      </c>
      <c r="B8" s="878">
        <f>18857169.7</f>
        <v>18857169.699999999</v>
      </c>
      <c r="C8" s="879">
        <v>0</v>
      </c>
      <c r="D8" s="880">
        <v>20</v>
      </c>
      <c r="E8" s="881">
        <f t="shared" ref="E8:E14" si="0">+B8/D8*$E$5</f>
        <v>471429.24249999999</v>
      </c>
      <c r="F8" s="882">
        <f>+E8/$E$5</f>
        <v>942858.48499999999</v>
      </c>
      <c r="I8" s="878">
        <f t="shared" ref="I8:I18" si="1">IFERROR(B8-P8,"")</f>
        <v>6600000</v>
      </c>
      <c r="J8" s="879">
        <f t="shared" ref="J8:J18" si="2">IFERROR(C8-Q8,"")</f>
        <v>0</v>
      </c>
      <c r="K8" s="1455">
        <f t="shared" ref="K8:K18" si="3">IFERROR(D8-R8,"")</f>
        <v>0</v>
      </c>
      <c r="L8" s="881">
        <f t="shared" ref="L8:L18" si="4">IFERROR(E8-S8,"")</f>
        <v>165000</v>
      </c>
      <c r="M8" s="882">
        <f t="shared" ref="M8:M18" si="5">IFERROR(F8-T8,"")</f>
        <v>330000</v>
      </c>
      <c r="O8" s="422" t="s">
        <v>441</v>
      </c>
      <c r="P8" s="878">
        <f>18857169.7-6600000</f>
        <v>12257169.699999999</v>
      </c>
      <c r="Q8" s="879">
        <v>0</v>
      </c>
      <c r="R8" s="880">
        <v>20</v>
      </c>
      <c r="S8" s="881">
        <f>+P8/R8*$E$5</f>
        <v>306429.24249999999</v>
      </c>
      <c r="T8" s="882">
        <f>+S8/$E$5</f>
        <v>612858.48499999999</v>
      </c>
    </row>
    <row r="9" spans="1:24" ht="12.75" customHeight="1" x14ac:dyDescent="0.2">
      <c r="A9" s="422" t="s">
        <v>442</v>
      </c>
      <c r="B9" s="281"/>
      <c r="C9" s="283">
        <v>3192000</v>
      </c>
      <c r="D9" s="880">
        <v>10</v>
      </c>
      <c r="E9" s="881">
        <f>+B9/D9*$E$5</f>
        <v>0</v>
      </c>
      <c r="F9" s="341">
        <f>+C9/D9*$E$5</f>
        <v>159600</v>
      </c>
      <c r="I9" s="281">
        <f t="shared" si="1"/>
        <v>0</v>
      </c>
      <c r="J9" s="283">
        <f t="shared" si="2"/>
        <v>0</v>
      </c>
      <c r="K9" s="1455">
        <f t="shared" si="3"/>
        <v>0</v>
      </c>
      <c r="L9" s="881">
        <f t="shared" si="4"/>
        <v>0</v>
      </c>
      <c r="M9" s="341">
        <f t="shared" si="5"/>
        <v>0</v>
      </c>
      <c r="O9" s="422" t="s">
        <v>443</v>
      </c>
      <c r="P9" s="281"/>
      <c r="Q9" s="283">
        <v>3192000</v>
      </c>
      <c r="R9" s="880">
        <v>10</v>
      </c>
      <c r="S9" s="881">
        <f>+P9/R9*$E$5</f>
        <v>0</v>
      </c>
      <c r="T9" s="341">
        <f>+Q9/R9*$E$5</f>
        <v>159600</v>
      </c>
    </row>
    <row r="10" spans="1:24" ht="12.75" customHeight="1" x14ac:dyDescent="0.2">
      <c r="A10" s="422" t="s">
        <v>444</v>
      </c>
      <c r="B10" s="281">
        <v>0</v>
      </c>
      <c r="C10" s="283">
        <v>1619000</v>
      </c>
      <c r="D10" s="880">
        <v>10</v>
      </c>
      <c r="E10" s="881">
        <f t="shared" si="0"/>
        <v>0</v>
      </c>
      <c r="F10" s="341">
        <f>+C10/D10*$E$5</f>
        <v>80950</v>
      </c>
      <c r="I10" s="281">
        <f t="shared" si="1"/>
        <v>0</v>
      </c>
      <c r="J10" s="283">
        <f t="shared" si="2"/>
        <v>0</v>
      </c>
      <c r="K10" s="1455">
        <f t="shared" si="3"/>
        <v>0</v>
      </c>
      <c r="L10" s="881">
        <f t="shared" si="4"/>
        <v>0</v>
      </c>
      <c r="M10" s="341">
        <f t="shared" si="5"/>
        <v>0</v>
      </c>
      <c r="O10" s="422" t="s">
        <v>445</v>
      </c>
      <c r="P10" s="281">
        <v>0</v>
      </c>
      <c r="Q10" s="283">
        <v>1619000</v>
      </c>
      <c r="R10" s="880">
        <v>10</v>
      </c>
      <c r="S10" s="881">
        <f t="shared" ref="S10:S18" si="6">+P10/R10*$E$5</f>
        <v>0</v>
      </c>
      <c r="T10" s="341">
        <f>+Q10/R10*$E$5</f>
        <v>80950</v>
      </c>
    </row>
    <row r="11" spans="1:24" ht="12.75" customHeight="1" x14ac:dyDescent="0.2">
      <c r="A11" s="424" t="s">
        <v>446</v>
      </c>
      <c r="B11" s="281">
        <v>0</v>
      </c>
      <c r="C11" s="281">
        <v>1200000</v>
      </c>
      <c r="D11" s="880">
        <v>10</v>
      </c>
      <c r="E11" s="881">
        <f t="shared" si="0"/>
        <v>0</v>
      </c>
      <c r="F11" s="341">
        <f>+C11/D11*$E$5</f>
        <v>60000</v>
      </c>
      <c r="I11" s="281">
        <f t="shared" si="1"/>
        <v>0</v>
      </c>
      <c r="J11" s="281">
        <f t="shared" si="2"/>
        <v>0</v>
      </c>
      <c r="K11" s="1455">
        <f t="shared" si="3"/>
        <v>0</v>
      </c>
      <c r="L11" s="881">
        <f t="shared" si="4"/>
        <v>0</v>
      </c>
      <c r="M11" s="341">
        <f t="shared" si="5"/>
        <v>0</v>
      </c>
      <c r="O11" s="424" t="s">
        <v>447</v>
      </c>
      <c r="P11" s="281">
        <v>0</v>
      </c>
      <c r="Q11" s="281">
        <v>1200000</v>
      </c>
      <c r="R11" s="880">
        <v>10</v>
      </c>
      <c r="S11" s="881">
        <f t="shared" si="6"/>
        <v>0</v>
      </c>
      <c r="T11" s="341">
        <f>+Q11/R11*$E$5</f>
        <v>60000</v>
      </c>
    </row>
    <row r="12" spans="1:24" ht="12.75" customHeight="1" x14ac:dyDescent="0.2">
      <c r="A12" s="424" t="s">
        <v>448</v>
      </c>
      <c r="B12" s="281">
        <v>500000</v>
      </c>
      <c r="C12" s="281">
        <v>0</v>
      </c>
      <c r="D12" s="880">
        <v>10</v>
      </c>
      <c r="E12" s="881">
        <f t="shared" si="0"/>
        <v>25000</v>
      </c>
      <c r="F12" s="341">
        <f t="shared" ref="F12:F18" si="7">+E12/$E$5</f>
        <v>50000</v>
      </c>
      <c r="I12" s="281">
        <f t="shared" si="1"/>
        <v>0</v>
      </c>
      <c r="J12" s="281">
        <f t="shared" si="2"/>
        <v>0</v>
      </c>
      <c r="K12" s="1455">
        <f t="shared" si="3"/>
        <v>0</v>
      </c>
      <c r="L12" s="881">
        <f t="shared" si="4"/>
        <v>0</v>
      </c>
      <c r="M12" s="341">
        <f t="shared" si="5"/>
        <v>0</v>
      </c>
      <c r="O12" s="424" t="s">
        <v>449</v>
      </c>
      <c r="P12" s="281">
        <v>500000</v>
      </c>
      <c r="Q12" s="281">
        <v>0</v>
      </c>
      <c r="R12" s="880">
        <v>10</v>
      </c>
      <c r="S12" s="881">
        <f t="shared" si="6"/>
        <v>25000</v>
      </c>
      <c r="T12" s="341">
        <f t="shared" ref="T12:T18" si="8">+S12/$E$5</f>
        <v>50000</v>
      </c>
    </row>
    <row r="13" spans="1:24" ht="12.75" customHeight="1" x14ac:dyDescent="0.2">
      <c r="A13" s="422" t="s">
        <v>450</v>
      </c>
      <c r="B13" s="281">
        <v>350000</v>
      </c>
      <c r="C13" s="281">
        <v>0</v>
      </c>
      <c r="D13" s="880">
        <v>10</v>
      </c>
      <c r="E13" s="881">
        <f t="shared" si="0"/>
        <v>17500</v>
      </c>
      <c r="F13" s="341">
        <f t="shared" si="7"/>
        <v>35000</v>
      </c>
      <c r="I13" s="281">
        <f t="shared" si="1"/>
        <v>0</v>
      </c>
      <c r="J13" s="281">
        <f t="shared" si="2"/>
        <v>0</v>
      </c>
      <c r="K13" s="1455">
        <f t="shared" si="3"/>
        <v>0</v>
      </c>
      <c r="L13" s="881">
        <f t="shared" si="4"/>
        <v>0</v>
      </c>
      <c r="M13" s="341">
        <f t="shared" si="5"/>
        <v>0</v>
      </c>
      <c r="O13" s="422" t="s">
        <v>451</v>
      </c>
      <c r="P13" s="281">
        <v>350000</v>
      </c>
      <c r="Q13" s="281">
        <v>0</v>
      </c>
      <c r="R13" s="880">
        <v>10</v>
      </c>
      <c r="S13" s="881">
        <f t="shared" si="6"/>
        <v>17500</v>
      </c>
      <c r="T13" s="341">
        <f t="shared" si="8"/>
        <v>35000</v>
      </c>
    </row>
    <row r="14" spans="1:24" ht="12.75" customHeight="1" x14ac:dyDescent="0.2">
      <c r="A14" s="424" t="s">
        <v>452</v>
      </c>
      <c r="B14" s="281">
        <f>115000+500000-75000</f>
        <v>540000</v>
      </c>
      <c r="C14" s="281">
        <v>0</v>
      </c>
      <c r="D14" s="880">
        <v>10</v>
      </c>
      <c r="E14" s="881">
        <f t="shared" si="0"/>
        <v>27000</v>
      </c>
      <c r="F14" s="341">
        <f t="shared" si="7"/>
        <v>54000</v>
      </c>
      <c r="I14" s="281">
        <f t="shared" si="1"/>
        <v>0</v>
      </c>
      <c r="J14" s="281">
        <f t="shared" si="2"/>
        <v>0</v>
      </c>
      <c r="K14" s="1455">
        <f t="shared" si="3"/>
        <v>0</v>
      </c>
      <c r="L14" s="881">
        <f t="shared" si="4"/>
        <v>0</v>
      </c>
      <c r="M14" s="341">
        <f t="shared" si="5"/>
        <v>0</v>
      </c>
      <c r="O14" s="424" t="s">
        <v>453</v>
      </c>
      <c r="P14" s="281">
        <f>115000+500000-75000</f>
        <v>540000</v>
      </c>
      <c r="Q14" s="281">
        <v>0</v>
      </c>
      <c r="R14" s="880">
        <v>10</v>
      </c>
      <c r="S14" s="881">
        <f t="shared" si="6"/>
        <v>27000</v>
      </c>
      <c r="T14" s="341">
        <f t="shared" si="8"/>
        <v>54000</v>
      </c>
    </row>
    <row r="15" spans="1:24" ht="12.75" customHeight="1" x14ac:dyDescent="0.2">
      <c r="A15" s="424" t="s">
        <v>454</v>
      </c>
      <c r="B15" s="281">
        <v>500000</v>
      </c>
      <c r="C15" s="281">
        <v>0</v>
      </c>
      <c r="D15" s="880">
        <v>10</v>
      </c>
      <c r="E15" s="881">
        <f>+B15/D15*$E$5</f>
        <v>25000</v>
      </c>
      <c r="F15" s="341">
        <f>+E15/$E$5</f>
        <v>50000</v>
      </c>
      <c r="I15" s="281">
        <f t="shared" si="1"/>
        <v>0</v>
      </c>
      <c r="J15" s="281">
        <f t="shared" si="2"/>
        <v>0</v>
      </c>
      <c r="K15" s="1455">
        <f t="shared" si="3"/>
        <v>0</v>
      </c>
      <c r="L15" s="881">
        <f t="shared" si="4"/>
        <v>0</v>
      </c>
      <c r="M15" s="341">
        <f t="shared" si="5"/>
        <v>0</v>
      </c>
      <c r="O15" s="424" t="s">
        <v>455</v>
      </c>
      <c r="P15" s="281">
        <v>500000</v>
      </c>
      <c r="Q15" s="281">
        <v>0</v>
      </c>
      <c r="R15" s="880">
        <v>10</v>
      </c>
      <c r="S15" s="881">
        <f t="shared" si="6"/>
        <v>25000</v>
      </c>
      <c r="T15" s="341">
        <f t="shared" si="8"/>
        <v>50000</v>
      </c>
    </row>
    <row r="16" spans="1:24" ht="12.75" customHeight="1" x14ac:dyDescent="0.2">
      <c r="A16" s="424" t="s">
        <v>456</v>
      </c>
      <c r="B16" s="281">
        <v>190000</v>
      </c>
      <c r="C16" s="281">
        <v>0</v>
      </c>
      <c r="D16" s="880">
        <v>10</v>
      </c>
      <c r="E16" s="881">
        <f>+B16/D16*$E$5</f>
        <v>9500</v>
      </c>
      <c r="F16" s="341">
        <f t="shared" si="7"/>
        <v>19000</v>
      </c>
      <c r="I16" s="281">
        <f t="shared" si="1"/>
        <v>0</v>
      </c>
      <c r="J16" s="281">
        <f t="shared" si="2"/>
        <v>0</v>
      </c>
      <c r="K16" s="1455">
        <f t="shared" si="3"/>
        <v>0</v>
      </c>
      <c r="L16" s="881">
        <f t="shared" si="4"/>
        <v>0</v>
      </c>
      <c r="M16" s="341">
        <f t="shared" si="5"/>
        <v>0</v>
      </c>
      <c r="O16" s="424" t="s">
        <v>457</v>
      </c>
      <c r="P16" s="281">
        <v>190000</v>
      </c>
      <c r="Q16" s="281">
        <v>0</v>
      </c>
      <c r="R16" s="880">
        <v>10</v>
      </c>
      <c r="S16" s="881">
        <f t="shared" si="6"/>
        <v>9500</v>
      </c>
      <c r="T16" s="341">
        <f t="shared" si="8"/>
        <v>19000</v>
      </c>
    </row>
    <row r="17" spans="1:20" ht="12.75" customHeight="1" x14ac:dyDescent="0.2">
      <c r="A17" s="424" t="s">
        <v>458</v>
      </c>
      <c r="B17" s="281">
        <v>250000</v>
      </c>
      <c r="C17" s="281">
        <v>0</v>
      </c>
      <c r="D17" s="880">
        <v>15</v>
      </c>
      <c r="E17" s="881">
        <f>+B17/D17*$E$5</f>
        <v>8333.3333333333339</v>
      </c>
      <c r="F17" s="341">
        <f t="shared" si="7"/>
        <v>16666.666666666668</v>
      </c>
      <c r="I17" s="281">
        <f t="shared" si="1"/>
        <v>0</v>
      </c>
      <c r="J17" s="281">
        <f t="shared" si="2"/>
        <v>0</v>
      </c>
      <c r="K17" s="880">
        <f t="shared" si="3"/>
        <v>5</v>
      </c>
      <c r="L17" s="881">
        <f t="shared" si="4"/>
        <v>-4166.6666666666661</v>
      </c>
      <c r="M17" s="341">
        <f t="shared" si="5"/>
        <v>-8333.3333333333321</v>
      </c>
      <c r="O17" s="424" t="s">
        <v>459</v>
      </c>
      <c r="P17" s="281">
        <v>250000</v>
      </c>
      <c r="Q17" s="281">
        <v>0</v>
      </c>
      <c r="R17" s="880">
        <v>10</v>
      </c>
      <c r="S17" s="881">
        <f t="shared" si="6"/>
        <v>12500</v>
      </c>
      <c r="T17" s="341">
        <f t="shared" si="8"/>
        <v>25000</v>
      </c>
    </row>
    <row r="18" spans="1:20" ht="12.75" customHeight="1" x14ac:dyDescent="0.2">
      <c r="A18" s="883" t="s">
        <v>460</v>
      </c>
      <c r="B18" s="281">
        <v>125000</v>
      </c>
      <c r="C18" s="281">
        <v>0</v>
      </c>
      <c r="D18" s="880">
        <v>15</v>
      </c>
      <c r="E18" s="881">
        <f>+B18/D18*$E$5</f>
        <v>4166.666666666667</v>
      </c>
      <c r="F18" s="341">
        <f t="shared" si="7"/>
        <v>8333.3333333333339</v>
      </c>
      <c r="I18" s="281">
        <f t="shared" si="1"/>
        <v>0</v>
      </c>
      <c r="J18" s="281">
        <f t="shared" si="2"/>
        <v>0</v>
      </c>
      <c r="K18" s="880">
        <f t="shared" si="3"/>
        <v>5</v>
      </c>
      <c r="L18" s="881">
        <f t="shared" si="4"/>
        <v>-2083.333333333333</v>
      </c>
      <c r="M18" s="341">
        <f t="shared" si="5"/>
        <v>-4166.6666666666661</v>
      </c>
      <c r="O18" s="424" t="s">
        <v>461</v>
      </c>
      <c r="P18" s="281">
        <v>125000</v>
      </c>
      <c r="Q18" s="281">
        <v>0</v>
      </c>
      <c r="R18" s="880">
        <v>10</v>
      </c>
      <c r="S18" s="881">
        <f t="shared" si="6"/>
        <v>6250</v>
      </c>
      <c r="T18" s="341">
        <f t="shared" si="8"/>
        <v>12500</v>
      </c>
    </row>
    <row r="19" spans="1:20" ht="12.75" customHeight="1" x14ac:dyDescent="0.2">
      <c r="A19" s="340"/>
      <c r="B19" s="281"/>
      <c r="C19" s="281"/>
      <c r="D19" s="880"/>
      <c r="E19" s="881"/>
      <c r="F19" s="341"/>
      <c r="I19" s="281"/>
      <c r="J19" s="281"/>
      <c r="K19" s="880"/>
      <c r="L19" s="881"/>
      <c r="M19" s="341"/>
      <c r="O19" s="340"/>
      <c r="P19" s="281"/>
      <c r="Q19" s="281"/>
      <c r="R19" s="880"/>
      <c r="S19" s="881"/>
      <c r="T19" s="341"/>
    </row>
    <row r="20" spans="1:20" ht="5.0999999999999996" customHeight="1" x14ac:dyDescent="0.2">
      <c r="A20" s="884"/>
      <c r="B20" s="885"/>
      <c r="C20" s="885"/>
      <c r="D20" s="885"/>
      <c r="E20" s="885"/>
      <c r="F20" s="885"/>
      <c r="I20" s="885"/>
      <c r="J20" s="885"/>
      <c r="K20" s="885"/>
      <c r="L20" s="885"/>
      <c r="M20" s="885"/>
      <c r="O20" s="884"/>
      <c r="P20" s="885"/>
      <c r="Q20" s="885"/>
      <c r="R20" s="885"/>
      <c r="S20" s="885"/>
      <c r="T20" s="885"/>
    </row>
    <row r="21" spans="1:20" x14ac:dyDescent="0.2">
      <c r="A21" s="346" t="s">
        <v>462</v>
      </c>
      <c r="B21" s="886">
        <f>SUM(B8:B20)</f>
        <v>21312169.699999999</v>
      </c>
      <c r="C21" s="886">
        <f>SUM(C8:C20)</f>
        <v>6011000</v>
      </c>
      <c r="D21" s="886"/>
      <c r="E21" s="886">
        <f>SUM(E8:E20)</f>
        <v>587929.24249999993</v>
      </c>
      <c r="F21" s="886">
        <f>SUM(F8:F20)</f>
        <v>1476408.4849999999</v>
      </c>
      <c r="I21" s="886">
        <f>IFERROR(B21-P21,"")</f>
        <v>6600000</v>
      </c>
      <c r="J21" s="886">
        <f>IFERROR(C21-Q21,"")</f>
        <v>0</v>
      </c>
      <c r="K21" s="886"/>
      <c r="L21" s="886">
        <f>IFERROR(E21-S21,"")</f>
        <v>158749.99999999994</v>
      </c>
      <c r="M21" s="886">
        <f>IFERROR(F21-T21,"")</f>
        <v>317500</v>
      </c>
      <c r="O21" s="346" t="s">
        <v>462</v>
      </c>
      <c r="P21" s="886">
        <f>SUM(P8:P20)</f>
        <v>14712169.699999999</v>
      </c>
      <c r="Q21" s="886">
        <f>SUM(Q8:Q20)</f>
        <v>6011000</v>
      </c>
      <c r="R21" s="886"/>
      <c r="S21" s="886">
        <f>SUM(S8:S20)</f>
        <v>429179.24249999999</v>
      </c>
      <c r="T21" s="886">
        <f>SUM(T8:T20)</f>
        <v>1158908.4849999999</v>
      </c>
    </row>
    <row r="22" spans="1:20" x14ac:dyDescent="0.2">
      <c r="A22" s="344"/>
      <c r="B22" s="259"/>
      <c r="C22" s="259"/>
      <c r="D22" s="259"/>
      <c r="E22" s="259"/>
      <c r="F22" s="887"/>
      <c r="I22" s="259"/>
      <c r="J22" s="259"/>
      <c r="K22" s="259"/>
      <c r="L22" s="259"/>
      <c r="M22" s="887"/>
      <c r="O22" s="344"/>
      <c r="P22" s="259"/>
      <c r="Q22" s="259"/>
      <c r="R22" s="259"/>
      <c r="S22" s="259"/>
      <c r="T22" s="887"/>
    </row>
    <row r="23" spans="1:20" x14ac:dyDescent="0.2">
      <c r="A23" s="346" t="s">
        <v>463</v>
      </c>
      <c r="B23" s="888"/>
      <c r="C23" s="343"/>
      <c r="D23" s="888"/>
      <c r="E23" s="888"/>
      <c r="F23" s="889"/>
      <c r="I23" s="888"/>
      <c r="J23" s="343"/>
      <c r="K23" s="888"/>
      <c r="L23" s="888"/>
      <c r="M23" s="889"/>
      <c r="O23" s="346" t="s">
        <v>463</v>
      </c>
      <c r="P23" s="888"/>
      <c r="Q23" s="343"/>
      <c r="R23" s="888"/>
      <c r="S23" s="888"/>
      <c r="T23" s="889"/>
    </row>
    <row r="24" spans="1:20" x14ac:dyDescent="0.2">
      <c r="A24" s="344" t="s">
        <v>428</v>
      </c>
      <c r="B24" s="890"/>
      <c r="C24" s="890"/>
      <c r="D24" s="891"/>
      <c r="E24" s="892">
        <v>198622.77999999997</v>
      </c>
      <c r="F24" s="892">
        <v>195477.87999999998</v>
      </c>
      <c r="I24" s="893"/>
      <c r="J24" s="890"/>
      <c r="K24" s="891"/>
      <c r="L24" s="892">
        <f t="shared" ref="L24:M29" si="9">IFERROR(E24-S24,"")</f>
        <v>0</v>
      </c>
      <c r="M24" s="892">
        <f t="shared" si="9"/>
        <v>0</v>
      </c>
      <c r="O24" s="344" t="s">
        <v>428</v>
      </c>
      <c r="P24" s="890"/>
      <c r="Q24" s="890"/>
      <c r="R24" s="891"/>
      <c r="S24" s="892">
        <v>198622.77999999997</v>
      </c>
      <c r="T24" s="892">
        <v>195477.87999999998</v>
      </c>
    </row>
    <row r="25" spans="1:20" x14ac:dyDescent="0.2">
      <c r="A25" s="340" t="s">
        <v>429</v>
      </c>
      <c r="B25" s="343"/>
      <c r="C25" s="343"/>
      <c r="D25" s="552"/>
      <c r="E25" s="144">
        <v>765.44</v>
      </c>
      <c r="F25" s="144">
        <v>446.51</v>
      </c>
      <c r="I25" s="596"/>
      <c r="J25" s="343"/>
      <c r="K25" s="552"/>
      <c r="L25" s="144">
        <f t="shared" si="9"/>
        <v>0</v>
      </c>
      <c r="M25" s="144">
        <f t="shared" si="9"/>
        <v>0</v>
      </c>
      <c r="O25" s="340" t="s">
        <v>429</v>
      </c>
      <c r="P25" s="343"/>
      <c r="Q25" s="343"/>
      <c r="R25" s="552"/>
      <c r="S25" s="144">
        <v>765.44</v>
      </c>
      <c r="T25" s="144">
        <v>446.51</v>
      </c>
    </row>
    <row r="26" spans="1:20" x14ac:dyDescent="0.2">
      <c r="A26" s="340" t="s">
        <v>464</v>
      </c>
      <c r="B26" s="343"/>
      <c r="C26" s="343"/>
      <c r="D26" s="552"/>
      <c r="E26" s="144">
        <v>1566.45</v>
      </c>
      <c r="F26" s="144">
        <v>153.1</v>
      </c>
      <c r="I26" s="596"/>
      <c r="J26" s="343"/>
      <c r="K26" s="552"/>
      <c r="L26" s="144">
        <f t="shared" si="9"/>
        <v>0</v>
      </c>
      <c r="M26" s="144">
        <f t="shared" si="9"/>
        <v>0</v>
      </c>
      <c r="O26" s="340" t="s">
        <v>464</v>
      </c>
      <c r="P26" s="343"/>
      <c r="Q26" s="343"/>
      <c r="R26" s="552"/>
      <c r="S26" s="144">
        <v>1566.45</v>
      </c>
      <c r="T26" s="144">
        <v>153.1</v>
      </c>
    </row>
    <row r="27" spans="1:20" x14ac:dyDescent="0.2">
      <c r="A27" s="340" t="s">
        <v>465</v>
      </c>
      <c r="B27" s="343"/>
      <c r="C27" s="343"/>
      <c r="D27" s="552"/>
      <c r="E27" s="144">
        <v>45929.31</v>
      </c>
      <c r="F27" s="144">
        <v>42154.670000000006</v>
      </c>
      <c r="I27" s="596"/>
      <c r="J27" s="343"/>
      <c r="K27" s="552"/>
      <c r="L27" s="144">
        <f t="shared" si="9"/>
        <v>0</v>
      </c>
      <c r="M27" s="144">
        <f t="shared" si="9"/>
        <v>0</v>
      </c>
      <c r="O27" s="340" t="s">
        <v>465</v>
      </c>
      <c r="P27" s="343"/>
      <c r="Q27" s="343"/>
      <c r="R27" s="552"/>
      <c r="S27" s="144">
        <v>45929.31</v>
      </c>
      <c r="T27" s="144">
        <v>42154.670000000006</v>
      </c>
    </row>
    <row r="28" spans="1:20" x14ac:dyDescent="0.2">
      <c r="A28" s="340" t="s">
        <v>432</v>
      </c>
      <c r="B28" s="343"/>
      <c r="C28" s="343"/>
      <c r="D28" s="552"/>
      <c r="E28" s="144">
        <v>440524.81</v>
      </c>
      <c r="F28" s="144">
        <v>255898.82000000007</v>
      </c>
      <c r="I28" s="596"/>
      <c r="J28" s="343"/>
      <c r="K28" s="552"/>
      <c r="L28" s="144">
        <f t="shared" si="9"/>
        <v>0</v>
      </c>
      <c r="M28" s="144">
        <f t="shared" si="9"/>
        <v>0</v>
      </c>
      <c r="O28" s="340" t="s">
        <v>432</v>
      </c>
      <c r="P28" s="343"/>
      <c r="Q28" s="343"/>
      <c r="R28" s="552"/>
      <c r="S28" s="144">
        <v>440524.81</v>
      </c>
      <c r="T28" s="144">
        <v>255898.82000000007</v>
      </c>
    </row>
    <row r="29" spans="1:20" x14ac:dyDescent="0.2">
      <c r="A29" s="894" t="s">
        <v>433</v>
      </c>
      <c r="B29" s="888"/>
      <c r="C29" s="888"/>
      <c r="D29" s="889"/>
      <c r="E29" s="142">
        <v>452259.7699999999</v>
      </c>
      <c r="F29" s="142">
        <v>433349.28999999992</v>
      </c>
      <c r="I29" s="895"/>
      <c r="J29" s="888"/>
      <c r="K29" s="889"/>
      <c r="L29" s="142">
        <f t="shared" si="9"/>
        <v>0</v>
      </c>
      <c r="M29" s="142">
        <f t="shared" si="9"/>
        <v>0</v>
      </c>
      <c r="O29" s="894" t="s">
        <v>433</v>
      </c>
      <c r="P29" s="888"/>
      <c r="Q29" s="888"/>
      <c r="R29" s="889"/>
      <c r="S29" s="142">
        <v>452259.7699999999</v>
      </c>
      <c r="T29" s="142">
        <v>433349.28999999992</v>
      </c>
    </row>
    <row r="30" spans="1:20" ht="5.0999999999999996" customHeight="1" x14ac:dyDescent="0.2">
      <c r="A30" s="344"/>
      <c r="B30" s="259"/>
      <c r="C30" s="259"/>
      <c r="D30" s="259"/>
      <c r="E30" s="313"/>
      <c r="F30" s="887"/>
      <c r="I30" s="673"/>
      <c r="J30" s="259"/>
      <c r="K30" s="887"/>
      <c r="L30" s="313"/>
      <c r="M30" s="887"/>
      <c r="O30" s="344"/>
      <c r="P30" s="259"/>
      <c r="Q30" s="259"/>
      <c r="R30" s="259"/>
      <c r="S30" s="313"/>
      <c r="T30" s="887"/>
    </row>
    <row r="31" spans="1:20" ht="13.5" customHeight="1" x14ac:dyDescent="0.2">
      <c r="A31" s="896" t="s">
        <v>373</v>
      </c>
      <c r="B31" s="897"/>
      <c r="C31" s="897"/>
      <c r="D31" s="897"/>
      <c r="E31" s="898">
        <f>SUM(E24:E30)</f>
        <v>1139668.56</v>
      </c>
      <c r="F31" s="899">
        <f>SUM(F24:F30)</f>
        <v>927480.27</v>
      </c>
      <c r="I31" s="900"/>
      <c r="J31" s="897"/>
      <c r="K31" s="899"/>
      <c r="L31" s="898">
        <f>IFERROR(E31-S31,"")</f>
        <v>0</v>
      </c>
      <c r="M31" s="899">
        <f>IFERROR(F31-T31,"")</f>
        <v>0</v>
      </c>
      <c r="O31" s="896" t="s">
        <v>373</v>
      </c>
      <c r="P31" s="897"/>
      <c r="Q31" s="897"/>
      <c r="R31" s="897"/>
      <c r="S31" s="898">
        <f>SUM(S24:S30)</f>
        <v>1139668.56</v>
      </c>
      <c r="T31" s="899">
        <f>SUM(T24:T30)</f>
        <v>927480.27</v>
      </c>
    </row>
    <row r="32" spans="1:20" ht="5.0999999999999996" customHeight="1" x14ac:dyDescent="0.2">
      <c r="A32" s="901"/>
      <c r="B32" s="259"/>
      <c r="C32" s="259"/>
      <c r="D32" s="259"/>
      <c r="E32" s="313"/>
      <c r="F32" s="887"/>
      <c r="I32" s="673"/>
      <c r="J32" s="259"/>
      <c r="K32" s="887"/>
      <c r="L32" s="313"/>
      <c r="M32" s="887"/>
      <c r="O32" s="901"/>
      <c r="P32" s="259"/>
      <c r="Q32" s="259"/>
      <c r="R32" s="259"/>
      <c r="S32" s="313"/>
      <c r="T32" s="887"/>
    </row>
    <row r="33" spans="1:20" ht="15" customHeight="1" x14ac:dyDescent="0.2">
      <c r="A33" s="318" t="s">
        <v>374</v>
      </c>
      <c r="B33" s="902"/>
      <c r="C33" s="902"/>
      <c r="D33" s="902"/>
      <c r="E33" s="903">
        <f>+E31+E21</f>
        <v>1727597.8025</v>
      </c>
      <c r="F33" s="904">
        <f>+F31+F21</f>
        <v>2403888.7549999999</v>
      </c>
      <c r="I33" s="905"/>
      <c r="J33" s="902"/>
      <c r="K33" s="904"/>
      <c r="L33" s="903">
        <f>IFERROR(E33-S33,"")</f>
        <v>158750</v>
      </c>
      <c r="M33" s="904">
        <f>IFERROR(F33-T33,"")</f>
        <v>317500</v>
      </c>
      <c r="O33" s="318" t="s">
        <v>374</v>
      </c>
      <c r="P33" s="902"/>
      <c r="Q33" s="902"/>
      <c r="R33" s="902"/>
      <c r="S33" s="903">
        <f>+S31+S21</f>
        <v>1568847.8025</v>
      </c>
      <c r="T33" s="904">
        <f>+T31+T21</f>
        <v>2086388.7549999999</v>
      </c>
    </row>
    <row r="34" spans="1:20" ht="5.0999999999999996" customHeight="1" x14ac:dyDescent="0.2">
      <c r="A34" s="346"/>
      <c r="B34" s="906"/>
      <c r="C34" s="906"/>
      <c r="D34" s="906"/>
      <c r="E34" s="426"/>
      <c r="F34" s="907"/>
      <c r="I34" s="908"/>
      <c r="J34" s="906"/>
      <c r="K34" s="907"/>
      <c r="L34" s="426">
        <f>IFERROR(E34-S34,"")</f>
        <v>0</v>
      </c>
      <c r="M34" s="907">
        <f>IFERROR(F34-T34,"")</f>
        <v>0</v>
      </c>
      <c r="O34" s="346"/>
      <c r="P34" s="906"/>
      <c r="Q34" s="906"/>
      <c r="R34" s="906"/>
      <c r="S34" s="426"/>
      <c r="T34" s="907"/>
    </row>
    <row r="36" spans="1:20" outlineLevel="1" x14ac:dyDescent="0.2">
      <c r="C36" s="258"/>
      <c r="D36" s="258"/>
      <c r="E36" s="258"/>
      <c r="F36" s="258"/>
    </row>
    <row r="37" spans="1:20" x14ac:dyDescent="0.2">
      <c r="C37" s="343"/>
    </row>
    <row r="38" spans="1:20" x14ac:dyDescent="0.2">
      <c r="C38" s="343"/>
    </row>
    <row r="39" spans="1:20" x14ac:dyDescent="0.2">
      <c r="C39" s="343"/>
    </row>
    <row r="40" spans="1:20" x14ac:dyDescent="0.2">
      <c r="C40" s="343"/>
    </row>
    <row r="41" spans="1:20" x14ac:dyDescent="0.2">
      <c r="C41" s="343"/>
    </row>
    <row r="42" spans="1:20" x14ac:dyDescent="0.2">
      <c r="C42" s="343"/>
    </row>
    <row r="43" spans="1:20" x14ac:dyDescent="0.2">
      <c r="C43" s="343"/>
    </row>
    <row r="44" spans="1:20" x14ac:dyDescent="0.2">
      <c r="C44" s="343"/>
    </row>
    <row r="45" spans="1:20" x14ac:dyDescent="0.2">
      <c r="C45" s="343"/>
    </row>
    <row r="46" spans="1:20" x14ac:dyDescent="0.2">
      <c r="C46" s="343"/>
    </row>
    <row r="47" spans="1:20" x14ac:dyDescent="0.2">
      <c r="C47" s="407"/>
    </row>
    <row r="48" spans="1:20" x14ac:dyDescent="0.2">
      <c r="C48" s="407"/>
    </row>
    <row r="49" spans="3:3" x14ac:dyDescent="0.2">
      <c r="C49" s="407"/>
    </row>
    <row r="50" spans="3:3" x14ac:dyDescent="0.2">
      <c r="C50" s="407"/>
    </row>
    <row r="51" spans="3:3" x14ac:dyDescent="0.2">
      <c r="C51" s="407"/>
    </row>
    <row r="52" spans="3:3" x14ac:dyDescent="0.2">
      <c r="C52" s="407"/>
    </row>
    <row r="53" spans="3:3" x14ac:dyDescent="0.2">
      <c r="C53" s="407"/>
    </row>
    <row r="54" spans="3:3" x14ac:dyDescent="0.2">
      <c r="C54" s="407"/>
    </row>
    <row r="55" spans="3:3" x14ac:dyDescent="0.2">
      <c r="C55" s="407"/>
    </row>
    <row r="56" spans="3:3" x14ac:dyDescent="0.2">
      <c r="C56" s="407"/>
    </row>
    <row r="57" spans="3:3" x14ac:dyDescent="0.2">
      <c r="C57" s="407"/>
    </row>
    <row r="58" spans="3:3" x14ac:dyDescent="0.2">
      <c r="C58" s="407"/>
    </row>
    <row r="59" spans="3:3" x14ac:dyDescent="0.2">
      <c r="C59" s="407"/>
    </row>
    <row r="60" spans="3:3" x14ac:dyDescent="0.2">
      <c r="C60" s="407"/>
    </row>
    <row r="61" spans="3:3" x14ac:dyDescent="0.2">
      <c r="C61" s="407"/>
    </row>
    <row r="62" spans="3:3" x14ac:dyDescent="0.2">
      <c r="C62" s="407"/>
    </row>
    <row r="63" spans="3:3" x14ac:dyDescent="0.2">
      <c r="C63" s="407"/>
    </row>
    <row r="64" spans="3:3" x14ac:dyDescent="0.2">
      <c r="C64" s="407"/>
    </row>
    <row r="65" spans="3:3" x14ac:dyDescent="0.2">
      <c r="C65" s="407"/>
    </row>
    <row r="66" spans="3:3" x14ac:dyDescent="0.2">
      <c r="C66" s="407"/>
    </row>
    <row r="67" spans="3:3" x14ac:dyDescent="0.2">
      <c r="C67" s="407"/>
    </row>
    <row r="68" spans="3:3" x14ac:dyDescent="0.2">
      <c r="C68" s="407"/>
    </row>
    <row r="69" spans="3:3" x14ac:dyDescent="0.2">
      <c r="C69" s="407"/>
    </row>
    <row r="70" spans="3:3" x14ac:dyDescent="0.2">
      <c r="C70" s="407"/>
    </row>
    <row r="71" spans="3:3" x14ac:dyDescent="0.2">
      <c r="C71" s="407"/>
    </row>
    <row r="72" spans="3:3" x14ac:dyDescent="0.2">
      <c r="C72" s="407"/>
    </row>
    <row r="73" spans="3:3" x14ac:dyDescent="0.2">
      <c r="C73" s="407"/>
    </row>
    <row r="74" spans="3:3" x14ac:dyDescent="0.2">
      <c r="C74" s="407"/>
    </row>
    <row r="75" spans="3:3" x14ac:dyDescent="0.2">
      <c r="C75" s="407"/>
    </row>
    <row r="76" spans="3:3" x14ac:dyDescent="0.2">
      <c r="C76" s="407"/>
    </row>
    <row r="77" spans="3:3" x14ac:dyDescent="0.2">
      <c r="C77" s="407"/>
    </row>
    <row r="78" spans="3:3" x14ac:dyDescent="0.2">
      <c r="C78" s="407"/>
    </row>
    <row r="79" spans="3:3" x14ac:dyDescent="0.2">
      <c r="C79" s="407"/>
    </row>
    <row r="80" spans="3:3" x14ac:dyDescent="0.2">
      <c r="C80" s="407"/>
    </row>
    <row r="81" spans="3:3" x14ac:dyDescent="0.2">
      <c r="C81" s="407"/>
    </row>
    <row r="82" spans="3:3" x14ac:dyDescent="0.2">
      <c r="C82" s="407"/>
    </row>
    <row r="83" spans="3:3" x14ac:dyDescent="0.2">
      <c r="C83" s="407"/>
    </row>
    <row r="84" spans="3:3" x14ac:dyDescent="0.2">
      <c r="C84" s="407"/>
    </row>
    <row r="85" spans="3:3" x14ac:dyDescent="0.2">
      <c r="C85" s="407"/>
    </row>
    <row r="86" spans="3:3" x14ac:dyDescent="0.2">
      <c r="C86" s="407"/>
    </row>
    <row r="87" spans="3:3" x14ac:dyDescent="0.2">
      <c r="C87" s="407"/>
    </row>
    <row r="88" spans="3:3" x14ac:dyDescent="0.2">
      <c r="C88" s="407"/>
    </row>
    <row r="89" spans="3:3" x14ac:dyDescent="0.2">
      <c r="C89" s="407"/>
    </row>
    <row r="90" spans="3:3" x14ac:dyDescent="0.2">
      <c r="C90" s="407"/>
    </row>
    <row r="91" spans="3:3" x14ac:dyDescent="0.2">
      <c r="C91" s="407"/>
    </row>
    <row r="92" spans="3:3" x14ac:dyDescent="0.2">
      <c r="C92" s="407"/>
    </row>
    <row r="93" spans="3:3" x14ac:dyDescent="0.2">
      <c r="C93" s="407"/>
    </row>
    <row r="94" spans="3:3" x14ac:dyDescent="0.2">
      <c r="C94" s="407"/>
    </row>
    <row r="95" spans="3:3" x14ac:dyDescent="0.2">
      <c r="C95" s="407"/>
    </row>
    <row r="96" spans="3:3" x14ac:dyDescent="0.2">
      <c r="C96" s="407"/>
    </row>
    <row r="97" spans="3:3" x14ac:dyDescent="0.2">
      <c r="C97" s="407"/>
    </row>
    <row r="98" spans="3:3" x14ac:dyDescent="0.2">
      <c r="C98" s="407"/>
    </row>
    <row r="99" spans="3:3" x14ac:dyDescent="0.2">
      <c r="C99" s="407"/>
    </row>
    <row r="100" spans="3:3" x14ac:dyDescent="0.2">
      <c r="C100" s="407"/>
    </row>
    <row r="101" spans="3:3" x14ac:dyDescent="0.2">
      <c r="C101" s="407"/>
    </row>
    <row r="102" spans="3:3" x14ac:dyDescent="0.2">
      <c r="C102" s="407"/>
    </row>
  </sheetData>
  <mergeCells count="8">
    <mergeCell ref="I3:M4"/>
    <mergeCell ref="O3:T4"/>
    <mergeCell ref="B6:C6"/>
    <mergeCell ref="E6:F6"/>
    <mergeCell ref="I6:J6"/>
    <mergeCell ref="L6:M6"/>
    <mergeCell ref="P6:Q6"/>
    <mergeCell ref="S6:T6"/>
  </mergeCells>
  <pageMargins left="1" right="0.75" top="0.75" bottom="0.5" header="0.5" footer="0.5"/>
  <pageSetup orientation="landscape" r:id="rId1"/>
  <headerFooter>
    <oddFooter>&amp;L&amp;KFF0000Final Rate Application&amp;CPage &amp;P of &amp;N&amp;R02/10/2017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S12"/>
  <sheetViews>
    <sheetView showOutlineSymbols="0" zoomScaleNormal="100" workbookViewId="0"/>
  </sheetViews>
  <sheetFormatPr defaultRowHeight="12.75" outlineLevelRow="1" x14ac:dyDescent="0.2"/>
  <cols>
    <col min="1" max="1" width="25.85546875" style="12" customWidth="1"/>
    <col min="2" max="4" width="14.7109375" style="12" customWidth="1"/>
    <col min="5" max="5" width="17" style="12" customWidth="1"/>
    <col min="6" max="6" width="18.140625" style="12" customWidth="1"/>
    <col min="7" max="7" width="1.7109375" style="12" customWidth="1"/>
    <col min="8" max="10" width="14.85546875" style="12" customWidth="1"/>
    <col min="11" max="11" width="11.42578125" style="12" bestFit="1" customWidth="1"/>
    <col min="12" max="12" width="17.7109375" style="12" bestFit="1" customWidth="1"/>
    <col min="13" max="13" width="2" style="12" customWidth="1"/>
    <col min="14" max="14" width="16" style="12" bestFit="1" customWidth="1"/>
    <col min="15" max="17" width="13.140625" style="12" customWidth="1"/>
    <col min="18" max="18" width="11.42578125" style="12" customWidth="1"/>
    <col min="19" max="19" width="17.7109375" style="12" bestFit="1" customWidth="1"/>
    <col min="20" max="16384" width="9.140625" style="12"/>
  </cols>
  <sheetData>
    <row r="1" spans="1:19" x14ac:dyDescent="0.2">
      <c r="A1" s="112" t="s">
        <v>0</v>
      </c>
    </row>
    <row r="2" spans="1:19" x14ac:dyDescent="0.2">
      <c r="A2" s="300" t="s">
        <v>466</v>
      </c>
    </row>
    <row r="3" spans="1:19" ht="12.75" customHeight="1" x14ac:dyDescent="0.2">
      <c r="A3" s="704" t="s">
        <v>36</v>
      </c>
      <c r="H3" s="1522" t="s">
        <v>74</v>
      </c>
      <c r="I3" s="1523"/>
      <c r="J3" s="1523"/>
      <c r="K3" s="1523"/>
      <c r="L3" s="1524"/>
      <c r="M3" s="867"/>
      <c r="N3" s="1497" t="s">
        <v>75</v>
      </c>
      <c r="O3" s="1498"/>
      <c r="P3" s="1498"/>
      <c r="Q3" s="1498"/>
      <c r="R3" s="1498"/>
      <c r="S3" s="1499"/>
    </row>
    <row r="4" spans="1:19" ht="12.75" customHeight="1" x14ac:dyDescent="0.2">
      <c r="A4" s="349"/>
      <c r="H4" s="1531"/>
      <c r="I4" s="1527"/>
      <c r="J4" s="1527"/>
      <c r="K4" s="1527"/>
      <c r="L4" s="1528"/>
      <c r="M4" s="867"/>
      <c r="N4" s="1500"/>
      <c r="O4" s="1502"/>
      <c r="P4" s="1502"/>
      <c r="Q4" s="1502"/>
      <c r="R4" s="1502"/>
      <c r="S4" s="1503"/>
    </row>
    <row r="5" spans="1:19" ht="16.5" customHeight="1" x14ac:dyDescent="0.25">
      <c r="B5" s="1585" t="s">
        <v>207</v>
      </c>
      <c r="C5" s="1586"/>
      <c r="D5" s="1587"/>
      <c r="E5" s="909" t="s">
        <v>208</v>
      </c>
      <c r="F5" s="910" t="s">
        <v>209</v>
      </c>
      <c r="H5" s="1585" t="s">
        <v>207</v>
      </c>
      <c r="I5" s="1586"/>
      <c r="J5" s="1587"/>
      <c r="K5" s="909" t="s">
        <v>208</v>
      </c>
      <c r="L5" s="910" t="s">
        <v>209</v>
      </c>
      <c r="N5" s="413"/>
      <c r="O5" s="1586" t="s">
        <v>207</v>
      </c>
      <c r="P5" s="1586"/>
      <c r="Q5" s="1587"/>
      <c r="R5" s="909" t="s">
        <v>208</v>
      </c>
      <c r="S5" s="910" t="s">
        <v>209</v>
      </c>
    </row>
    <row r="6" spans="1:19" ht="16.5" customHeight="1" x14ac:dyDescent="0.25">
      <c r="A6" s="911"/>
      <c r="B6" s="912" t="s">
        <v>102</v>
      </c>
      <c r="C6" s="912" t="s">
        <v>103</v>
      </c>
      <c r="D6" s="912" t="s">
        <v>104</v>
      </c>
      <c r="E6" s="913" t="s">
        <v>99</v>
      </c>
      <c r="F6" s="914" t="s">
        <v>69</v>
      </c>
      <c r="H6" s="912" t="s">
        <v>102</v>
      </c>
      <c r="I6" s="912" t="s">
        <v>103</v>
      </c>
      <c r="J6" s="912" t="s">
        <v>104</v>
      </c>
      <c r="K6" s="913" t="s">
        <v>99</v>
      </c>
      <c r="L6" s="914" t="s">
        <v>69</v>
      </c>
      <c r="N6" s="316"/>
      <c r="O6" s="915" t="s">
        <v>102</v>
      </c>
      <c r="P6" s="912" t="s">
        <v>103</v>
      </c>
      <c r="Q6" s="912" t="s">
        <v>104</v>
      </c>
      <c r="R6" s="913" t="s">
        <v>99</v>
      </c>
      <c r="S6" s="914" t="s">
        <v>69</v>
      </c>
    </row>
    <row r="7" spans="1:19" ht="15" customHeight="1" x14ac:dyDescent="0.2">
      <c r="A7" s="901"/>
      <c r="B7" s="916"/>
      <c r="C7" s="916"/>
      <c r="D7" s="916"/>
      <c r="E7" s="917"/>
      <c r="F7" s="917"/>
      <c r="H7" s="916"/>
      <c r="I7" s="916"/>
      <c r="J7" s="916"/>
      <c r="K7" s="917"/>
      <c r="L7" s="917"/>
      <c r="N7" s="327"/>
      <c r="O7" s="916"/>
      <c r="P7" s="916"/>
      <c r="Q7" s="916"/>
      <c r="R7" s="917"/>
      <c r="S7" s="917"/>
    </row>
    <row r="8" spans="1:19" ht="15" customHeight="1" x14ac:dyDescent="0.2">
      <c r="A8" s="577" t="s">
        <v>467</v>
      </c>
      <c r="B8" s="918">
        <f>+D!C29</f>
        <v>857868.41999999993</v>
      </c>
      <c r="C8" s="918">
        <f>+D!D29</f>
        <v>768419.58</v>
      </c>
      <c r="D8" s="918">
        <f>+D!E29</f>
        <v>808639.88000000012</v>
      </c>
      <c r="E8" s="919">
        <v>828994.33637090877</v>
      </c>
      <c r="F8" s="919">
        <v>879812.08099893364</v>
      </c>
      <c r="H8" s="918">
        <f>IFERROR(B8-O8,"")</f>
        <v>0</v>
      </c>
      <c r="I8" s="918">
        <f>IFERROR(C8-P8,"")</f>
        <v>0</v>
      </c>
      <c r="J8" s="918">
        <f>IFERROR(D8-Q8,"")</f>
        <v>0</v>
      </c>
      <c r="K8" s="919">
        <f>IFERROR(E8-R8,"")</f>
        <v>0</v>
      </c>
      <c r="L8" s="919">
        <f>IFERROR(F8-S8,"")</f>
        <v>0</v>
      </c>
      <c r="N8" s="920" t="s">
        <v>467</v>
      </c>
      <c r="O8" s="918">
        <v>857868.41999999993</v>
      </c>
      <c r="P8" s="918">
        <v>768419.58</v>
      </c>
      <c r="Q8" s="918">
        <v>808639.88000000012</v>
      </c>
      <c r="R8" s="919">
        <v>828994.33637090877</v>
      </c>
      <c r="S8" s="919">
        <v>879812.08099893364</v>
      </c>
    </row>
    <row r="9" spans="1:19" ht="15" customHeight="1" x14ac:dyDescent="0.2">
      <c r="A9" s="921"/>
      <c r="B9" s="922"/>
      <c r="C9" s="922"/>
      <c r="D9" s="922"/>
      <c r="E9" s="922"/>
      <c r="F9" s="922"/>
      <c r="H9" s="922"/>
      <c r="I9" s="922"/>
      <c r="J9" s="922"/>
      <c r="K9" s="922"/>
      <c r="L9" s="922"/>
      <c r="N9" s="922"/>
      <c r="O9" s="922"/>
      <c r="P9" s="922"/>
      <c r="Q9" s="922"/>
      <c r="R9" s="922"/>
      <c r="S9" s="922"/>
    </row>
    <row r="10" spans="1:19" x14ac:dyDescent="0.2">
      <c r="A10" s="429"/>
    </row>
    <row r="11" spans="1:19" outlineLevel="1" x14ac:dyDescent="0.2">
      <c r="A11" s="429"/>
    </row>
    <row r="12" spans="1:19" outlineLevel="1" x14ac:dyDescent="0.2">
      <c r="B12" s="923"/>
      <c r="C12" s="923"/>
      <c r="D12" s="923"/>
      <c r="E12" s="923"/>
      <c r="F12" s="923"/>
    </row>
  </sheetData>
  <mergeCells count="5">
    <mergeCell ref="H3:L4"/>
    <mergeCell ref="N3:S4"/>
    <mergeCell ref="B5:D5"/>
    <mergeCell ref="H5:J5"/>
    <mergeCell ref="O5:Q5"/>
  </mergeCells>
  <pageMargins left="1" right="0.75" top="0.75" bottom="0.5" header="0.5" footer="0.5"/>
  <pageSetup orientation="landscape" r:id="rId1"/>
  <headerFooter>
    <oddFooter>&amp;L&amp;KFF0000Final Rate Application&amp;CPage &amp;P of &amp;N&amp;R02/10/2017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X39"/>
  <sheetViews>
    <sheetView showOutlineSymbols="0" zoomScaleNormal="100" zoomScaleSheetLayoutView="100" workbookViewId="0"/>
  </sheetViews>
  <sheetFormatPr defaultRowHeight="12.75" x14ac:dyDescent="0.2"/>
  <cols>
    <col min="1" max="1" width="41.140625" style="744" customWidth="1"/>
    <col min="2" max="4" width="14.7109375" style="12" customWidth="1"/>
    <col min="5" max="5" width="13" style="12" bestFit="1" customWidth="1"/>
    <col min="6" max="6" width="18.5703125" style="12" customWidth="1"/>
    <col min="7" max="7" width="12.85546875" style="12" bestFit="1" customWidth="1"/>
    <col min="8" max="8" width="18.5703125" style="12" customWidth="1"/>
    <col min="9" max="9" width="3.85546875" style="12" customWidth="1"/>
    <col min="10" max="11" width="11.28515625" style="12" bestFit="1" customWidth="1"/>
    <col min="12" max="12" width="12.28515625" style="12" bestFit="1" customWidth="1"/>
    <col min="13" max="13" width="12.85546875" style="12" bestFit="1" customWidth="1"/>
    <col min="14" max="14" width="11.28515625" style="12" bestFit="1" customWidth="1"/>
    <col min="15" max="15" width="15.5703125" style="12" bestFit="1" customWidth="1"/>
    <col min="16" max="16" width="16.140625" style="12" bestFit="1" customWidth="1"/>
    <col min="17" max="17" width="3.28515625" style="12" customWidth="1"/>
    <col min="18" max="18" width="40.5703125" style="12" bestFit="1" customWidth="1"/>
    <col min="19" max="20" width="11.28515625" style="12" bestFit="1" customWidth="1"/>
    <col min="21" max="21" width="12.28515625" style="12" bestFit="1" customWidth="1"/>
    <col min="22" max="22" width="12.85546875" style="12" bestFit="1" customWidth="1"/>
    <col min="23" max="23" width="12.28515625" style="12" bestFit="1" customWidth="1"/>
    <col min="24" max="24" width="16.140625" style="12" bestFit="1" customWidth="1"/>
    <col min="25" max="16384" width="9.140625" style="12"/>
  </cols>
  <sheetData>
    <row r="1" spans="1:24" x14ac:dyDescent="0.2">
      <c r="A1" s="112" t="s">
        <v>0</v>
      </c>
      <c r="B1" s="705"/>
      <c r="C1" s="705"/>
      <c r="D1" s="705"/>
    </row>
    <row r="2" spans="1:24" x14ac:dyDescent="0.2">
      <c r="A2" s="924" t="s">
        <v>468</v>
      </c>
      <c r="B2" s="706"/>
      <c r="C2" s="706"/>
      <c r="D2" s="706"/>
    </row>
    <row r="3" spans="1:24" ht="12.75" customHeight="1" x14ac:dyDescent="0.2">
      <c r="A3" s="265" t="s">
        <v>38</v>
      </c>
      <c r="B3" s="925"/>
      <c r="C3" s="925"/>
      <c r="D3" s="925"/>
      <c r="F3" s="405"/>
      <c r="G3" s="405"/>
      <c r="H3" s="405"/>
      <c r="J3" s="1522" t="s">
        <v>74</v>
      </c>
      <c r="K3" s="1523"/>
      <c r="L3" s="1523"/>
      <c r="M3" s="1523"/>
      <c r="N3" s="1523"/>
      <c r="O3" s="1523"/>
      <c r="P3" s="1524"/>
      <c r="R3" s="1497" t="s">
        <v>75</v>
      </c>
      <c r="S3" s="1498"/>
      <c r="T3" s="1498"/>
      <c r="U3" s="1498"/>
      <c r="V3" s="1498"/>
      <c r="W3" s="1498"/>
      <c r="X3" s="1499"/>
    </row>
    <row r="4" spans="1:24" ht="16.5" customHeight="1" x14ac:dyDescent="0.2">
      <c r="A4"/>
      <c r="J4" s="1531"/>
      <c r="K4" s="1527"/>
      <c r="L4" s="1527"/>
      <c r="M4" s="1527"/>
      <c r="N4" s="1527"/>
      <c r="O4" s="1527"/>
      <c r="P4" s="1528"/>
      <c r="R4" s="1529"/>
      <c r="S4" s="1502"/>
      <c r="T4" s="1502"/>
      <c r="U4" s="1502"/>
      <c r="V4" s="1502"/>
      <c r="W4" s="1502"/>
      <c r="X4" s="1503"/>
    </row>
    <row r="5" spans="1:24" ht="16.5" customHeight="1" x14ac:dyDescent="0.2">
      <c r="B5" s="1588" t="s">
        <v>207</v>
      </c>
      <c r="C5" s="1589"/>
      <c r="D5" s="1590"/>
      <c r="F5" s="926" t="s">
        <v>208</v>
      </c>
      <c r="H5" s="927" t="s">
        <v>209</v>
      </c>
      <c r="J5" s="1588" t="s">
        <v>207</v>
      </c>
      <c r="K5" s="1589"/>
      <c r="L5" s="1590"/>
      <c r="N5" s="926" t="s">
        <v>208</v>
      </c>
      <c r="P5" s="927" t="s">
        <v>209</v>
      </c>
      <c r="R5" s="413"/>
      <c r="S5" s="1591" t="s">
        <v>207</v>
      </c>
      <c r="T5" s="1592"/>
      <c r="U5" s="1593"/>
      <c r="W5" s="928" t="s">
        <v>208</v>
      </c>
      <c r="X5" s="929" t="s">
        <v>209</v>
      </c>
    </row>
    <row r="6" spans="1:24" ht="23.25" customHeight="1" x14ac:dyDescent="0.2">
      <c r="A6" s="930"/>
      <c r="B6" s="931" t="s">
        <v>102</v>
      </c>
      <c r="C6" s="931" t="s">
        <v>103</v>
      </c>
      <c r="D6" s="931" t="s">
        <v>104</v>
      </c>
      <c r="E6" s="932" t="s">
        <v>228</v>
      </c>
      <c r="F6" s="933" t="s">
        <v>99</v>
      </c>
      <c r="G6" s="932" t="s">
        <v>228</v>
      </c>
      <c r="H6" s="934" t="s">
        <v>69</v>
      </c>
      <c r="J6" s="931" t="s">
        <v>102</v>
      </c>
      <c r="K6" s="931" t="s">
        <v>103</v>
      </c>
      <c r="L6" s="931" t="s">
        <v>104</v>
      </c>
      <c r="M6" s="932" t="s">
        <v>228</v>
      </c>
      <c r="N6" s="933" t="s">
        <v>99</v>
      </c>
      <c r="O6" s="932" t="s">
        <v>228</v>
      </c>
      <c r="P6" s="934" t="s">
        <v>69</v>
      </c>
      <c r="R6" s="935"/>
      <c r="S6" s="931" t="s">
        <v>102</v>
      </c>
      <c r="T6" s="931" t="s">
        <v>103</v>
      </c>
      <c r="U6" s="931" t="s">
        <v>104</v>
      </c>
      <c r="V6" s="932" t="s">
        <v>228</v>
      </c>
      <c r="W6" s="933" t="s">
        <v>99</v>
      </c>
      <c r="X6" s="934" t="s">
        <v>69</v>
      </c>
    </row>
    <row r="7" spans="1:24" x14ac:dyDescent="0.2">
      <c r="A7" s="936" t="s">
        <v>257</v>
      </c>
      <c r="B7" s="936"/>
      <c r="C7" s="936"/>
      <c r="D7" s="936"/>
      <c r="E7" s="937"/>
      <c r="F7" s="938"/>
      <c r="G7" s="937"/>
      <c r="H7" s="938"/>
      <c r="J7" s="936"/>
      <c r="K7" s="936"/>
      <c r="L7" s="936"/>
      <c r="M7" s="937"/>
      <c r="N7" s="938"/>
      <c r="O7" s="937"/>
      <c r="P7" s="938"/>
      <c r="R7" s="936" t="s">
        <v>257</v>
      </c>
      <c r="S7" s="936"/>
      <c r="T7" s="936"/>
      <c r="U7" s="936"/>
      <c r="V7" s="937"/>
      <c r="W7" s="938"/>
      <c r="X7" s="938"/>
    </row>
    <row r="8" spans="1:24" x14ac:dyDescent="0.2">
      <c r="A8" s="939" t="s">
        <v>469</v>
      </c>
      <c r="B8" s="795">
        <v>159848.84</v>
      </c>
      <c r="C8" s="795">
        <v>166077.00000000006</v>
      </c>
      <c r="D8" s="795">
        <v>167927.47</v>
      </c>
      <c r="E8" s="327"/>
      <c r="F8" s="940">
        <v>171364.57499999998</v>
      </c>
      <c r="G8" s="327"/>
      <c r="H8" s="940">
        <v>172376.00574712644</v>
      </c>
      <c r="J8" s="795">
        <f>IFERROR(B8-S8,"")</f>
        <v>0</v>
      </c>
      <c r="K8" s="795">
        <f>IFERROR(C8-T8,"")</f>
        <v>0</v>
      </c>
      <c r="L8" s="795">
        <f>IFERROR(D8-U8,"")</f>
        <v>0</v>
      </c>
      <c r="M8" s="327"/>
      <c r="N8" s="940">
        <f>IFERROR(F8-W8,"")</f>
        <v>3564.5749999999825</v>
      </c>
      <c r="O8" s="327"/>
      <c r="P8" s="940">
        <f>IFERROR(H8-X8,"")</f>
        <v>5218.9176245210401</v>
      </c>
      <c r="R8" s="939" t="s">
        <v>469</v>
      </c>
      <c r="S8" s="795">
        <v>159848.84</v>
      </c>
      <c r="T8" s="795">
        <v>166077.00000000006</v>
      </c>
      <c r="U8" s="795">
        <v>167927.47</v>
      </c>
      <c r="V8" s="327"/>
      <c r="W8" s="940">
        <v>167800</v>
      </c>
      <c r="X8" s="940">
        <v>167157.0881226054</v>
      </c>
    </row>
    <row r="9" spans="1:24" x14ac:dyDescent="0.2">
      <c r="A9" s="939" t="s">
        <v>470</v>
      </c>
      <c r="B9" s="795">
        <v>6045.570000000007</v>
      </c>
      <c r="C9" s="795">
        <v>6950.9299999999967</v>
      </c>
      <c r="D9" s="795">
        <v>7156.0700000000006</v>
      </c>
      <c r="E9" s="327"/>
      <c r="F9" s="941">
        <v>5117.24</v>
      </c>
      <c r="G9" s="327"/>
      <c r="H9" s="940">
        <v>5097.6337164750958</v>
      </c>
      <c r="J9" s="795">
        <f t="shared" ref="J9:O38" si="0">IFERROR(B9-S9,"")</f>
        <v>0</v>
      </c>
      <c r="K9" s="795">
        <f t="shared" si="0"/>
        <v>0</v>
      </c>
      <c r="L9" s="795">
        <f t="shared" si="0"/>
        <v>0</v>
      </c>
      <c r="M9" s="327"/>
      <c r="N9" s="941">
        <f t="shared" ref="N9:N38" si="1">IFERROR(F9-W9,"")</f>
        <v>-2082.7600000000002</v>
      </c>
      <c r="O9" s="327"/>
      <c r="P9" s="940">
        <f t="shared" ref="P9:P38" si="2">IFERROR(H9-X9,"")</f>
        <v>-2074.7800766283517</v>
      </c>
      <c r="R9" s="939" t="s">
        <v>470</v>
      </c>
      <c r="S9" s="795">
        <v>6045.570000000007</v>
      </c>
      <c r="T9" s="795">
        <v>6950.9299999999967</v>
      </c>
      <c r="U9" s="795">
        <v>7156.0700000000006</v>
      </c>
      <c r="V9" s="327"/>
      <c r="W9" s="941">
        <v>7200</v>
      </c>
      <c r="X9" s="940">
        <v>7172.4137931034475</v>
      </c>
    </row>
    <row r="10" spans="1:24" x14ac:dyDescent="0.2">
      <c r="A10" s="942" t="s">
        <v>471</v>
      </c>
      <c r="B10" s="795">
        <v>28373.250000000007</v>
      </c>
      <c r="C10" s="795">
        <v>37451.37000000001</v>
      </c>
      <c r="D10" s="795">
        <v>35955.18</v>
      </c>
      <c r="E10" s="327"/>
      <c r="F10" s="941">
        <v>36000</v>
      </c>
      <c r="G10" s="327"/>
      <c r="H10" s="940">
        <v>35862.068965517246</v>
      </c>
      <c r="J10" s="795">
        <f t="shared" si="0"/>
        <v>0</v>
      </c>
      <c r="K10" s="795">
        <f t="shared" si="0"/>
        <v>0</v>
      </c>
      <c r="L10" s="795">
        <f t="shared" si="0"/>
        <v>0</v>
      </c>
      <c r="M10" s="327"/>
      <c r="N10" s="941">
        <f t="shared" si="1"/>
        <v>0</v>
      </c>
      <c r="O10" s="327"/>
      <c r="P10" s="940">
        <f t="shared" si="2"/>
        <v>0</v>
      </c>
      <c r="R10" s="939" t="s">
        <v>472</v>
      </c>
      <c r="S10" s="795">
        <v>28373.250000000007</v>
      </c>
      <c r="T10" s="795">
        <v>37451.37000000001</v>
      </c>
      <c r="U10" s="795">
        <v>35955.18</v>
      </c>
      <c r="V10" s="327"/>
      <c r="W10" s="941">
        <v>36000</v>
      </c>
      <c r="X10" s="940">
        <v>35862.068965517246</v>
      </c>
    </row>
    <row r="11" spans="1:24" x14ac:dyDescent="0.2">
      <c r="A11" s="942" t="s">
        <v>473</v>
      </c>
      <c r="B11" s="795">
        <v>3816.5700000000011</v>
      </c>
      <c r="C11" s="795">
        <v>4497.42</v>
      </c>
      <c r="D11" s="795">
        <v>6812.5400000000009</v>
      </c>
      <c r="E11" s="327"/>
      <c r="F11" s="941">
        <v>9010.7199999999993</v>
      </c>
      <c r="G11" s="327"/>
      <c r="H11" s="940">
        <v>8976.1961685823753</v>
      </c>
      <c r="J11" s="795">
        <f t="shared" si="0"/>
        <v>0</v>
      </c>
      <c r="K11" s="795">
        <f t="shared" si="0"/>
        <v>0</v>
      </c>
      <c r="L11" s="795">
        <f t="shared" si="0"/>
        <v>0</v>
      </c>
      <c r="M11" s="327"/>
      <c r="N11" s="941">
        <f t="shared" si="1"/>
        <v>3370.7199999999993</v>
      </c>
      <c r="O11" s="327"/>
      <c r="P11" s="940">
        <f t="shared" si="2"/>
        <v>3357.8053639846739</v>
      </c>
      <c r="R11" s="943" t="s">
        <v>474</v>
      </c>
      <c r="S11" s="795">
        <v>3816.5700000000011</v>
      </c>
      <c r="T11" s="795">
        <v>4497.42</v>
      </c>
      <c r="U11" s="795">
        <v>6812.5400000000009</v>
      </c>
      <c r="V11" s="327"/>
      <c r="W11" s="941">
        <v>5640</v>
      </c>
      <c r="X11" s="940">
        <v>5618.3908045977014</v>
      </c>
    </row>
    <row r="12" spans="1:24" x14ac:dyDescent="0.2">
      <c r="A12" s="942" t="s">
        <v>475</v>
      </c>
      <c r="B12" s="795">
        <v>2784.7800000000011</v>
      </c>
      <c r="C12" s="795">
        <v>2031.3</v>
      </c>
      <c r="D12" s="795">
        <v>1235.4100000000003</v>
      </c>
      <c r="E12" s="327"/>
      <c r="F12" s="941">
        <v>1057.68</v>
      </c>
      <c r="G12" s="327"/>
      <c r="H12" s="940">
        <v>1053.6275862068965</v>
      </c>
      <c r="J12" s="795">
        <f t="shared" si="0"/>
        <v>0</v>
      </c>
      <c r="K12" s="795">
        <f t="shared" si="0"/>
        <v>0</v>
      </c>
      <c r="L12" s="795">
        <f t="shared" si="0"/>
        <v>0</v>
      </c>
      <c r="M12" s="327"/>
      <c r="N12" s="941">
        <f t="shared" si="1"/>
        <v>-202.31999999999994</v>
      </c>
      <c r="O12" s="327"/>
      <c r="P12" s="940">
        <f t="shared" si="2"/>
        <v>-201.54482758620702</v>
      </c>
      <c r="R12" s="939" t="s">
        <v>476</v>
      </c>
      <c r="S12" s="795">
        <v>2784.7800000000011</v>
      </c>
      <c r="T12" s="795">
        <v>2031.3</v>
      </c>
      <c r="U12" s="795">
        <v>1235.4100000000003</v>
      </c>
      <c r="V12" s="327"/>
      <c r="W12" s="941">
        <v>1260</v>
      </c>
      <c r="X12" s="940">
        <v>1255.1724137931035</v>
      </c>
    </row>
    <row r="13" spans="1:24" ht="12" hidden="1" customHeight="1" x14ac:dyDescent="0.2">
      <c r="A13" s="939" t="s">
        <v>477</v>
      </c>
      <c r="B13" s="795">
        <v>0</v>
      </c>
      <c r="C13" s="795">
        <v>0</v>
      </c>
      <c r="D13" s="795">
        <v>0</v>
      </c>
      <c r="E13" s="327"/>
      <c r="F13" s="941">
        <v>0</v>
      </c>
      <c r="G13" s="327"/>
      <c r="H13" s="940">
        <v>0</v>
      </c>
      <c r="J13" s="795">
        <f t="shared" si="0"/>
        <v>0</v>
      </c>
      <c r="K13" s="795">
        <f t="shared" si="0"/>
        <v>0</v>
      </c>
      <c r="L13" s="795">
        <f t="shared" si="0"/>
        <v>0</v>
      </c>
      <c r="M13" s="327"/>
      <c r="N13" s="941">
        <f t="shared" si="1"/>
        <v>0</v>
      </c>
      <c r="O13" s="327"/>
      <c r="P13" s="940">
        <f t="shared" si="2"/>
        <v>0</v>
      </c>
      <c r="R13" s="939" t="s">
        <v>477</v>
      </c>
      <c r="S13" s="795">
        <v>0</v>
      </c>
      <c r="T13" s="795">
        <v>0</v>
      </c>
      <c r="U13" s="795">
        <v>0</v>
      </c>
      <c r="V13" s="327"/>
      <c r="W13" s="941">
        <v>0</v>
      </c>
      <c r="X13" s="940">
        <v>0</v>
      </c>
    </row>
    <row r="14" spans="1:24" x14ac:dyDescent="0.2">
      <c r="A14" s="939" t="s">
        <v>478</v>
      </c>
      <c r="B14" s="795">
        <v>1204.79</v>
      </c>
      <c r="C14" s="795">
        <v>1383.92</v>
      </c>
      <c r="D14" s="795">
        <v>798.72</v>
      </c>
      <c r="E14" s="327"/>
      <c r="F14" s="940">
        <v>800</v>
      </c>
      <c r="G14" s="327"/>
      <c r="H14" s="940">
        <v>796.93486590038322</v>
      </c>
      <c r="J14" s="795">
        <f t="shared" si="0"/>
        <v>0</v>
      </c>
      <c r="K14" s="795">
        <f t="shared" si="0"/>
        <v>0</v>
      </c>
      <c r="L14" s="795">
        <f t="shared" si="0"/>
        <v>0</v>
      </c>
      <c r="M14" s="327"/>
      <c r="N14" s="940">
        <f t="shared" si="1"/>
        <v>0</v>
      </c>
      <c r="O14" s="327"/>
      <c r="P14" s="940">
        <f t="shared" si="2"/>
        <v>0</v>
      </c>
      <c r="R14" s="939" t="s">
        <v>478</v>
      </c>
      <c r="S14" s="795">
        <v>1204.79</v>
      </c>
      <c r="T14" s="795">
        <v>1383.92</v>
      </c>
      <c r="U14" s="795">
        <v>798.72</v>
      </c>
      <c r="V14" s="327"/>
      <c r="W14" s="940">
        <v>800</v>
      </c>
      <c r="X14" s="940">
        <v>796.93486590038322</v>
      </c>
    </row>
    <row r="15" spans="1:24" x14ac:dyDescent="0.2">
      <c r="A15" s="944" t="s">
        <v>479</v>
      </c>
      <c r="B15" s="795">
        <v>0</v>
      </c>
      <c r="C15" s="795">
        <v>37233.25</v>
      </c>
      <c r="D15" s="795">
        <v>33694.080000000002</v>
      </c>
      <c r="E15" s="327"/>
      <c r="F15" s="940">
        <v>33249.760000000002</v>
      </c>
      <c r="G15" s="327"/>
      <c r="H15" s="940">
        <v>33122.366283524905</v>
      </c>
      <c r="J15" s="795">
        <f t="shared" si="0"/>
        <v>0</v>
      </c>
      <c r="K15" s="795">
        <f t="shared" si="0"/>
        <v>0</v>
      </c>
      <c r="L15" s="795">
        <f t="shared" si="0"/>
        <v>0</v>
      </c>
      <c r="M15" s="327"/>
      <c r="N15" s="940">
        <f t="shared" si="1"/>
        <v>2049.760000000002</v>
      </c>
      <c r="O15" s="327"/>
      <c r="P15" s="940">
        <f t="shared" si="2"/>
        <v>2041.9065134099619</v>
      </c>
      <c r="Q15" s="407"/>
      <c r="R15" s="944" t="s">
        <v>479</v>
      </c>
      <c r="S15" s="795">
        <v>0</v>
      </c>
      <c r="T15" s="795">
        <v>37233.25</v>
      </c>
      <c r="U15" s="795">
        <v>33694.080000000002</v>
      </c>
      <c r="V15" s="327"/>
      <c r="W15" s="940">
        <v>31200</v>
      </c>
      <c r="X15" s="940">
        <v>31080.459770114943</v>
      </c>
    </row>
    <row r="16" spans="1:24" x14ac:dyDescent="0.2">
      <c r="A16" s="945" t="s">
        <v>480</v>
      </c>
      <c r="B16" s="946">
        <v>1046.6199999999999</v>
      </c>
      <c r="C16" s="946">
        <v>796.03</v>
      </c>
      <c r="D16" s="946">
        <v>264.90000000000003</v>
      </c>
      <c r="E16" s="922"/>
      <c r="F16" s="947">
        <v>300</v>
      </c>
      <c r="G16" s="922"/>
      <c r="H16" s="947">
        <v>298.85057471264366</v>
      </c>
      <c r="J16" s="946">
        <f t="shared" si="0"/>
        <v>0</v>
      </c>
      <c r="K16" s="946">
        <f t="shared" si="0"/>
        <v>0</v>
      </c>
      <c r="L16" s="946">
        <f t="shared" si="0"/>
        <v>0</v>
      </c>
      <c r="M16" s="922"/>
      <c r="N16" s="947">
        <f t="shared" si="1"/>
        <v>0</v>
      </c>
      <c r="O16" s="922"/>
      <c r="P16" s="947">
        <f t="shared" si="2"/>
        <v>0</v>
      </c>
      <c r="Q16" s="407"/>
      <c r="R16" s="945" t="s">
        <v>480</v>
      </c>
      <c r="S16" s="946">
        <v>1046.6199999999999</v>
      </c>
      <c r="T16" s="946">
        <v>796.03</v>
      </c>
      <c r="U16" s="946">
        <v>264.90000000000003</v>
      </c>
      <c r="V16" s="922"/>
      <c r="W16" s="947">
        <v>300</v>
      </c>
      <c r="X16" s="947">
        <v>298.85057471264366</v>
      </c>
    </row>
    <row r="17" spans="1:24" hidden="1" x14ac:dyDescent="0.2">
      <c r="A17" s="945" t="s">
        <v>481</v>
      </c>
      <c r="B17" s="946">
        <v>0</v>
      </c>
      <c r="C17" s="946">
        <v>0</v>
      </c>
      <c r="D17" s="946">
        <v>0</v>
      </c>
      <c r="E17" s="922"/>
      <c r="F17" s="948"/>
      <c r="G17" s="922"/>
      <c r="H17" s="947"/>
      <c r="J17" s="946">
        <f t="shared" si="0"/>
        <v>0</v>
      </c>
      <c r="K17" s="946">
        <f t="shared" si="0"/>
        <v>0</v>
      </c>
      <c r="L17" s="946">
        <f t="shared" si="0"/>
        <v>0</v>
      </c>
      <c r="M17" s="922">
        <f t="shared" si="0"/>
        <v>0</v>
      </c>
      <c r="N17" s="948">
        <f t="shared" si="1"/>
        <v>0</v>
      </c>
      <c r="O17" s="922">
        <f t="shared" si="0"/>
        <v>0</v>
      </c>
      <c r="P17" s="947">
        <f t="shared" si="2"/>
        <v>0</v>
      </c>
      <c r="R17" s="945" t="s">
        <v>481</v>
      </c>
      <c r="S17" s="946">
        <v>0</v>
      </c>
      <c r="T17" s="946">
        <v>0</v>
      </c>
      <c r="U17" s="946">
        <v>0</v>
      </c>
      <c r="V17" s="922"/>
      <c r="W17" s="948"/>
      <c r="X17" s="947"/>
    </row>
    <row r="18" spans="1:24" ht="20.25" customHeight="1" x14ac:dyDescent="0.2">
      <c r="A18" s="949" t="s">
        <v>482</v>
      </c>
      <c r="B18" s="950">
        <f t="shared" ref="B18:D18" si="3">SUM(B8:B17)</f>
        <v>203120.42</v>
      </c>
      <c r="C18" s="950">
        <f t="shared" si="3"/>
        <v>256421.22000000006</v>
      </c>
      <c r="D18" s="950">
        <f t="shared" si="3"/>
        <v>253844.37000000002</v>
      </c>
      <c r="E18" s="951"/>
      <c r="F18" s="952">
        <f>SUM(F8:F17)</f>
        <v>256899.97499999998</v>
      </c>
      <c r="G18" s="951"/>
      <c r="H18" s="952">
        <f>SUM(H8:H17)</f>
        <v>257583.68390804596</v>
      </c>
      <c r="J18" s="950">
        <f t="shared" si="0"/>
        <v>0</v>
      </c>
      <c r="K18" s="950">
        <f t="shared" si="0"/>
        <v>0</v>
      </c>
      <c r="L18" s="950">
        <f t="shared" si="0"/>
        <v>0</v>
      </c>
      <c r="M18" s="951"/>
      <c r="N18" s="952">
        <f t="shared" si="1"/>
        <v>6699.9749999999767</v>
      </c>
      <c r="O18" s="951"/>
      <c r="P18" s="952">
        <f t="shared" si="2"/>
        <v>8342.3045977010916</v>
      </c>
      <c r="R18" s="949" t="s">
        <v>483</v>
      </c>
      <c r="S18" s="950">
        <v>203120.42</v>
      </c>
      <c r="T18" s="950">
        <v>256421.22000000006</v>
      </c>
      <c r="U18" s="950">
        <v>253844.37000000002</v>
      </c>
      <c r="V18" s="951"/>
      <c r="W18" s="952">
        <v>250200</v>
      </c>
      <c r="X18" s="952">
        <v>249241.37931034487</v>
      </c>
    </row>
    <row r="19" spans="1:24" x14ac:dyDescent="0.2">
      <c r="A19" s="943"/>
      <c r="B19" s="953"/>
      <c r="C19" s="953"/>
      <c r="D19" s="953"/>
      <c r="E19" s="954"/>
      <c r="F19" s="552"/>
      <c r="G19" s="954"/>
      <c r="H19" s="552"/>
      <c r="J19" s="953"/>
      <c r="K19" s="953"/>
      <c r="L19" s="953"/>
      <c r="M19" s="954"/>
      <c r="N19" s="552"/>
      <c r="O19" s="954"/>
      <c r="P19" s="552"/>
      <c r="R19" s="943"/>
      <c r="S19" s="953"/>
      <c r="T19" s="953"/>
      <c r="U19" s="953"/>
      <c r="V19" s="954"/>
      <c r="W19" s="552"/>
      <c r="X19" s="552"/>
    </row>
    <row r="20" spans="1:24" x14ac:dyDescent="0.2">
      <c r="A20" s="955" t="s">
        <v>484</v>
      </c>
      <c r="B20" s="955"/>
      <c r="C20" s="955"/>
      <c r="D20" s="956"/>
      <c r="E20" s="954"/>
      <c r="F20" s="552"/>
      <c r="G20" s="954"/>
      <c r="H20" s="552"/>
      <c r="J20" s="955"/>
      <c r="K20" s="955"/>
      <c r="L20" s="956"/>
      <c r="M20" s="954"/>
      <c r="N20" s="552"/>
      <c r="O20" s="954"/>
      <c r="P20" s="552"/>
      <c r="R20" s="955" t="s">
        <v>484</v>
      </c>
      <c r="S20" s="955"/>
      <c r="T20" s="955"/>
      <c r="U20" s="956"/>
      <c r="V20" s="954"/>
      <c r="W20" s="552"/>
      <c r="X20" s="552"/>
    </row>
    <row r="21" spans="1:24" x14ac:dyDescent="0.2">
      <c r="A21" s="957" t="s">
        <v>469</v>
      </c>
      <c r="B21" s="795">
        <v>8042781.660000002</v>
      </c>
      <c r="C21" s="795">
        <v>8476804.8399999999</v>
      </c>
      <c r="D21" s="795">
        <v>11067360.439999999</v>
      </c>
      <c r="E21" s="958">
        <v>75.45</v>
      </c>
      <c r="F21" s="959">
        <f>F8*E$21</f>
        <v>12929457.18375</v>
      </c>
      <c r="G21" s="958">
        <v>75</v>
      </c>
      <c r="H21" s="959">
        <f>H8*G$21</f>
        <v>12928200.431034483</v>
      </c>
      <c r="J21" s="795">
        <f t="shared" si="0"/>
        <v>0</v>
      </c>
      <c r="K21" s="795">
        <f t="shared" si="0"/>
        <v>0</v>
      </c>
      <c r="L21" s="795">
        <f t="shared" si="0"/>
        <v>0</v>
      </c>
      <c r="M21" s="958">
        <f t="shared" si="0"/>
        <v>-0.79999999999999716</v>
      </c>
      <c r="N21" s="959">
        <f t="shared" si="1"/>
        <v>134707.18374999985</v>
      </c>
      <c r="O21" s="958"/>
      <c r="P21" s="959">
        <f t="shared" si="2"/>
        <v>182472.46168582141</v>
      </c>
      <c r="R21" s="957" t="s">
        <v>469</v>
      </c>
      <c r="S21" s="795">
        <v>8042781.660000002</v>
      </c>
      <c r="T21" s="795">
        <v>8476804.8399999999</v>
      </c>
      <c r="U21" s="795">
        <v>11067360.439999999</v>
      </c>
      <c r="V21" s="958">
        <v>76.25</v>
      </c>
      <c r="W21" s="959">
        <v>12794750</v>
      </c>
      <c r="X21" s="959">
        <v>12745727.969348662</v>
      </c>
    </row>
    <row r="22" spans="1:24" x14ac:dyDescent="0.2">
      <c r="A22" s="957" t="s">
        <v>470</v>
      </c>
      <c r="B22" s="795">
        <v>197077.26</v>
      </c>
      <c r="C22" s="795">
        <v>206157.28999999998</v>
      </c>
      <c r="D22" s="795">
        <v>239059.25</v>
      </c>
      <c r="E22" s="960">
        <v>43.77</v>
      </c>
      <c r="F22" s="800">
        <f>F9*E$22</f>
        <v>223981.59480000002</v>
      </c>
      <c r="G22" s="960">
        <v>44.63</v>
      </c>
      <c r="H22" s="800">
        <f>H9*G$22</f>
        <v>227507.39276628353</v>
      </c>
      <c r="J22" s="795">
        <f t="shared" si="0"/>
        <v>0</v>
      </c>
      <c r="K22" s="795">
        <f t="shared" si="0"/>
        <v>0</v>
      </c>
      <c r="L22" s="795">
        <f t="shared" si="0"/>
        <v>0</v>
      </c>
      <c r="M22" s="960">
        <f t="shared" si="0"/>
        <v>-0.85999999999999943</v>
      </c>
      <c r="N22" s="800">
        <f t="shared" si="1"/>
        <v>-97354.405199999979</v>
      </c>
      <c r="O22" s="960"/>
      <c r="P22" s="800">
        <f t="shared" si="2"/>
        <v>-92597.434819923365</v>
      </c>
      <c r="R22" s="957" t="s">
        <v>470</v>
      </c>
      <c r="S22" s="795">
        <v>197077.26</v>
      </c>
      <c r="T22" s="795">
        <v>206157.28999999998</v>
      </c>
      <c r="U22" s="795">
        <v>239059.25</v>
      </c>
      <c r="V22" s="960">
        <v>44.63</v>
      </c>
      <c r="W22" s="800">
        <v>321336</v>
      </c>
      <c r="X22" s="800">
        <v>320104.8275862069</v>
      </c>
    </row>
    <row r="23" spans="1:24" x14ac:dyDescent="0.2">
      <c r="A23" s="944" t="s">
        <v>471</v>
      </c>
      <c r="B23" s="795">
        <v>401614.18</v>
      </c>
      <c r="C23" s="795">
        <v>547661.25</v>
      </c>
      <c r="D23" s="795">
        <v>610509.37</v>
      </c>
      <c r="E23" s="960">
        <v>19.32</v>
      </c>
      <c r="F23" s="800">
        <f>F10*E$23</f>
        <v>695520</v>
      </c>
      <c r="G23" s="960">
        <v>19.8996</v>
      </c>
      <c r="H23" s="800">
        <f>H10*G$23</f>
        <v>713640.82758620696</v>
      </c>
      <c r="J23" s="795">
        <f t="shared" si="0"/>
        <v>0</v>
      </c>
      <c r="K23" s="795">
        <f t="shared" si="0"/>
        <v>0</v>
      </c>
      <c r="L23" s="795">
        <f t="shared" si="0"/>
        <v>0</v>
      </c>
      <c r="M23" s="960">
        <f t="shared" si="0"/>
        <v>0.42999999999999972</v>
      </c>
      <c r="N23" s="800">
        <f t="shared" si="1"/>
        <v>15480</v>
      </c>
      <c r="O23" s="960"/>
      <c r="P23" s="800">
        <f t="shared" si="2"/>
        <v>36206.344827586203</v>
      </c>
      <c r="R23" s="957" t="s">
        <v>472</v>
      </c>
      <c r="S23" s="795">
        <v>401614.18</v>
      </c>
      <c r="T23" s="795">
        <v>547661.25</v>
      </c>
      <c r="U23" s="795">
        <v>610509.37</v>
      </c>
      <c r="V23" s="960">
        <v>18.89</v>
      </c>
      <c r="W23" s="800">
        <v>680040</v>
      </c>
      <c r="X23" s="800">
        <v>677434.48275862075</v>
      </c>
    </row>
    <row r="24" spans="1:24" x14ac:dyDescent="0.2">
      <c r="A24" s="944" t="s">
        <v>475</v>
      </c>
      <c r="B24" s="795">
        <v>88924.42</v>
      </c>
      <c r="C24" s="795">
        <v>66648.430000000008</v>
      </c>
      <c r="D24" s="795">
        <v>42920.62</v>
      </c>
      <c r="E24" s="960">
        <v>33.29</v>
      </c>
      <c r="F24" s="800">
        <f>F12*E$24</f>
        <v>35210.167200000004</v>
      </c>
      <c r="G24" s="960">
        <v>34.288699999999999</v>
      </c>
      <c r="H24" s="800">
        <f>H12*G$24</f>
        <v>36127.520215172408</v>
      </c>
      <c r="J24" s="795">
        <f t="shared" si="0"/>
        <v>0</v>
      </c>
      <c r="K24" s="795">
        <f t="shared" si="0"/>
        <v>0</v>
      </c>
      <c r="L24" s="795">
        <f t="shared" si="0"/>
        <v>0</v>
      </c>
      <c r="M24" s="960">
        <f t="shared" si="0"/>
        <v>0.42999999999999972</v>
      </c>
      <c r="N24" s="800">
        <f t="shared" si="1"/>
        <v>-6193.432799999995</v>
      </c>
      <c r="O24" s="960"/>
      <c r="P24" s="800">
        <f t="shared" si="2"/>
        <v>-5117.4453020689689</v>
      </c>
      <c r="R24" s="957" t="s">
        <v>476</v>
      </c>
      <c r="S24" s="795">
        <v>88924.42</v>
      </c>
      <c r="T24" s="795">
        <v>66648.430000000008</v>
      </c>
      <c r="U24" s="795">
        <v>42920.62</v>
      </c>
      <c r="V24" s="960">
        <v>32.86</v>
      </c>
      <c r="W24" s="800">
        <v>41403.599999999999</v>
      </c>
      <c r="X24" s="800">
        <v>41244.965517241377</v>
      </c>
    </row>
    <row r="25" spans="1:24" x14ac:dyDescent="0.2">
      <c r="A25" s="957" t="s">
        <v>485</v>
      </c>
      <c r="B25" s="795">
        <v>17728.45</v>
      </c>
      <c r="C25" s="795">
        <v>21545.96</v>
      </c>
      <c r="D25" s="795">
        <v>10465.890000000001</v>
      </c>
      <c r="E25" s="960"/>
      <c r="F25" s="800">
        <f>F14*E$25</f>
        <v>0</v>
      </c>
      <c r="G25" s="960">
        <v>0</v>
      </c>
      <c r="H25" s="800">
        <f>H14*G$25</f>
        <v>0</v>
      </c>
      <c r="J25" s="795">
        <f t="shared" si="0"/>
        <v>0</v>
      </c>
      <c r="K25" s="795">
        <f t="shared" si="0"/>
        <v>0</v>
      </c>
      <c r="L25" s="795">
        <f t="shared" si="0"/>
        <v>0</v>
      </c>
      <c r="M25" s="960">
        <f t="shared" si="0"/>
        <v>0</v>
      </c>
      <c r="N25" s="800">
        <f t="shared" si="1"/>
        <v>0</v>
      </c>
      <c r="O25" s="960"/>
      <c r="P25" s="800">
        <f t="shared" si="2"/>
        <v>0</v>
      </c>
      <c r="R25" s="957" t="s">
        <v>485</v>
      </c>
      <c r="S25" s="795">
        <v>17728.45</v>
      </c>
      <c r="T25" s="795">
        <v>21545.96</v>
      </c>
      <c r="U25" s="795">
        <v>10465.890000000001</v>
      </c>
      <c r="V25" s="960">
        <v>0</v>
      </c>
      <c r="W25" s="800">
        <v>0</v>
      </c>
      <c r="X25" s="800">
        <v>0</v>
      </c>
    </row>
    <row r="26" spans="1:24" x14ac:dyDescent="0.2">
      <c r="A26" s="944" t="s">
        <v>479</v>
      </c>
      <c r="B26" s="795">
        <v>0</v>
      </c>
      <c r="C26" s="795">
        <v>182279.50000000003</v>
      </c>
      <c r="D26" s="795">
        <v>240147.47000000003</v>
      </c>
      <c r="E26" s="960">
        <v>7.79</v>
      </c>
      <c r="F26" s="961">
        <f>+F15*E$26</f>
        <v>259015.63040000002</v>
      </c>
      <c r="G26" s="960">
        <v>8.0236999999999998</v>
      </c>
      <c r="H26" s="961">
        <f>+H15*G$26</f>
        <v>265763.93034911877</v>
      </c>
      <c r="J26" s="795">
        <f t="shared" si="0"/>
        <v>0</v>
      </c>
      <c r="K26" s="795">
        <f t="shared" si="0"/>
        <v>0</v>
      </c>
      <c r="L26" s="795">
        <f t="shared" si="0"/>
        <v>0</v>
      </c>
      <c r="M26" s="960">
        <f t="shared" si="0"/>
        <v>-7.21</v>
      </c>
      <c r="N26" s="961">
        <f t="shared" si="1"/>
        <v>-208984.36959999998</v>
      </c>
      <c r="O26" s="960"/>
      <c r="P26" s="961">
        <f t="shared" si="2"/>
        <v>-202236.06965088123</v>
      </c>
      <c r="Q26" s="407"/>
      <c r="R26" s="944" t="s">
        <v>479</v>
      </c>
      <c r="S26" s="795">
        <v>0</v>
      </c>
      <c r="T26" s="795">
        <v>182279.50000000003</v>
      </c>
      <c r="U26" s="795">
        <v>240147.47000000003</v>
      </c>
      <c r="V26" s="960">
        <v>15</v>
      </c>
      <c r="W26" s="961">
        <v>468000</v>
      </c>
      <c r="X26" s="961">
        <v>468000</v>
      </c>
    </row>
    <row r="27" spans="1:24" x14ac:dyDescent="0.2">
      <c r="A27" s="957" t="s">
        <v>480</v>
      </c>
      <c r="B27" s="946">
        <v>50351.67</v>
      </c>
      <c r="C27" s="946">
        <v>24207.22</v>
      </c>
      <c r="D27" s="946">
        <v>8025.41</v>
      </c>
      <c r="E27" s="960">
        <v>32.21</v>
      </c>
      <c r="F27" s="800">
        <f>+F16*E$27</f>
        <v>9663</v>
      </c>
      <c r="G27" s="960">
        <v>33.176300000000005</v>
      </c>
      <c r="H27" s="800">
        <f>+H16*G$27</f>
        <v>9914.7563218390806</v>
      </c>
      <c r="I27" s="962"/>
      <c r="J27" s="946">
        <f t="shared" si="0"/>
        <v>0</v>
      </c>
      <c r="K27" s="946">
        <f t="shared" si="0"/>
        <v>0</v>
      </c>
      <c r="L27" s="946">
        <f t="shared" si="0"/>
        <v>0</v>
      </c>
      <c r="M27" s="960">
        <f t="shared" si="0"/>
        <v>0.21000000000000085</v>
      </c>
      <c r="N27" s="800">
        <f t="shared" si="1"/>
        <v>63</v>
      </c>
      <c r="O27" s="960"/>
      <c r="P27" s="800">
        <f t="shared" si="2"/>
        <v>314.75632183908056</v>
      </c>
      <c r="R27" s="957" t="s">
        <v>480</v>
      </c>
      <c r="S27" s="946">
        <v>50351.67</v>
      </c>
      <c r="T27" s="946">
        <v>24207.22</v>
      </c>
      <c r="U27" s="946">
        <v>8025.41</v>
      </c>
      <c r="V27" s="960">
        <v>32</v>
      </c>
      <c r="W27" s="800">
        <v>9600</v>
      </c>
      <c r="X27" s="800">
        <v>9600</v>
      </c>
    </row>
    <row r="28" spans="1:24" x14ac:dyDescent="0.2">
      <c r="A28" s="963" t="s">
        <v>486</v>
      </c>
      <c r="B28" s="964">
        <f t="shared" ref="B28:D28" si="4">SUM(B21:B27)</f>
        <v>8798477.6400000006</v>
      </c>
      <c r="C28" s="964">
        <f t="shared" si="4"/>
        <v>9525304.4900000002</v>
      </c>
      <c r="D28" s="793">
        <f t="shared" si="4"/>
        <v>12218488.449999999</v>
      </c>
      <c r="E28" s="965"/>
      <c r="F28" s="966">
        <f>SUM(F21:F27)</f>
        <v>14152847.576149998</v>
      </c>
      <c r="G28" s="965"/>
      <c r="H28" s="966">
        <f>SUM(H21:H27)</f>
        <v>14181154.858273106</v>
      </c>
      <c r="J28" s="964">
        <f t="shared" si="0"/>
        <v>0</v>
      </c>
      <c r="K28" s="964">
        <f t="shared" si="0"/>
        <v>0</v>
      </c>
      <c r="L28" s="793">
        <f t="shared" si="0"/>
        <v>0</v>
      </c>
      <c r="M28" s="965"/>
      <c r="N28" s="966">
        <f t="shared" si="1"/>
        <v>-162282.02385000139</v>
      </c>
      <c r="O28" s="965"/>
      <c r="P28" s="966">
        <f t="shared" si="2"/>
        <v>-80957.386937625706</v>
      </c>
      <c r="R28" s="963" t="s">
        <v>486</v>
      </c>
      <c r="S28" s="964">
        <v>8798477.6400000006</v>
      </c>
      <c r="T28" s="964">
        <v>9525304.4900000002</v>
      </c>
      <c r="U28" s="793">
        <v>12218488.449999999</v>
      </c>
      <c r="V28" s="965"/>
      <c r="W28" s="966">
        <v>14315129.6</v>
      </c>
      <c r="X28" s="966">
        <v>14262112.245210731</v>
      </c>
    </row>
    <row r="29" spans="1:24" x14ac:dyDescent="0.2">
      <c r="A29" s="942"/>
      <c r="B29" s="967"/>
      <c r="C29" s="967"/>
      <c r="D29" s="967"/>
      <c r="E29" s="89"/>
      <c r="F29" s="968"/>
      <c r="G29" s="89"/>
      <c r="H29" s="968"/>
      <c r="J29" s="967"/>
      <c r="K29" s="967"/>
      <c r="L29" s="967"/>
      <c r="M29" s="89"/>
      <c r="N29" s="968"/>
      <c r="O29" s="89"/>
      <c r="P29" s="968"/>
      <c r="R29" s="942"/>
      <c r="S29" s="967"/>
      <c r="T29" s="967"/>
      <c r="U29" s="967"/>
      <c r="V29" s="89"/>
      <c r="W29" s="968"/>
      <c r="X29" s="968"/>
    </row>
    <row r="30" spans="1:24" x14ac:dyDescent="0.2">
      <c r="A30" s="969" t="s">
        <v>487</v>
      </c>
      <c r="B30" s="970"/>
      <c r="C30" s="970"/>
      <c r="D30" s="970"/>
      <c r="E30" s="971"/>
      <c r="F30" s="968"/>
      <c r="G30" s="971"/>
      <c r="H30" s="968"/>
      <c r="J30" s="970"/>
      <c r="K30" s="970"/>
      <c r="L30" s="970"/>
      <c r="M30" s="971"/>
      <c r="N30" s="968"/>
      <c r="O30" s="971"/>
      <c r="P30" s="968"/>
      <c r="R30" s="969" t="s">
        <v>487</v>
      </c>
      <c r="S30" s="970"/>
      <c r="T30" s="970"/>
      <c r="U30" s="970"/>
      <c r="V30" s="971"/>
      <c r="W30" s="968"/>
      <c r="X30" s="968"/>
    </row>
    <row r="31" spans="1:24" hidden="1" x14ac:dyDescent="0.2">
      <c r="A31" s="939" t="s">
        <v>477</v>
      </c>
      <c r="B31" s="972">
        <v>0</v>
      </c>
      <c r="C31" s="972">
        <v>0</v>
      </c>
      <c r="D31" s="972">
        <f>C31</f>
        <v>0</v>
      </c>
      <c r="E31" s="972">
        <v>0</v>
      </c>
      <c r="F31" s="972">
        <v>0</v>
      </c>
      <c r="G31" s="972">
        <v>0</v>
      </c>
      <c r="H31" s="972">
        <v>0</v>
      </c>
      <c r="J31" s="972">
        <f t="shared" si="0"/>
        <v>0</v>
      </c>
      <c r="K31" s="972">
        <f t="shared" si="0"/>
        <v>0</v>
      </c>
      <c r="L31" s="972">
        <f t="shared" si="0"/>
        <v>0</v>
      </c>
      <c r="M31" s="973">
        <f t="shared" si="0"/>
        <v>0</v>
      </c>
      <c r="N31" s="972">
        <f t="shared" si="1"/>
        <v>0</v>
      </c>
      <c r="O31" s="973"/>
      <c r="P31" s="972">
        <f t="shared" si="2"/>
        <v>0</v>
      </c>
      <c r="R31" s="939" t="s">
        <v>477</v>
      </c>
      <c r="S31" s="972">
        <v>0</v>
      </c>
      <c r="T31" s="972">
        <v>0</v>
      </c>
      <c r="U31" s="972">
        <v>0</v>
      </c>
      <c r="V31" s="972">
        <v>0</v>
      </c>
      <c r="W31" s="972">
        <v>0</v>
      </c>
      <c r="X31" s="972">
        <v>0</v>
      </c>
    </row>
    <row r="32" spans="1:24" x14ac:dyDescent="0.2">
      <c r="A32" s="942" t="s">
        <v>473</v>
      </c>
      <c r="B32" s="283">
        <v>186744.22999999998</v>
      </c>
      <c r="C32" s="283">
        <v>244682.75999999998</v>
      </c>
      <c r="D32" s="283">
        <v>367121.95999999996</v>
      </c>
      <c r="E32" s="974">
        <v>58.18</v>
      </c>
      <c r="F32" s="281">
        <f>F11*$E$32</f>
        <v>524243.68959999998</v>
      </c>
      <c r="G32" s="974">
        <v>59.925400000000003</v>
      </c>
      <c r="H32" s="281">
        <f>H11*$E$32</f>
        <v>522235.09308812261</v>
      </c>
      <c r="J32" s="283">
        <f t="shared" si="0"/>
        <v>0</v>
      </c>
      <c r="K32" s="283">
        <f t="shared" si="0"/>
        <v>0</v>
      </c>
      <c r="L32" s="283">
        <f t="shared" si="0"/>
        <v>0</v>
      </c>
      <c r="M32" s="974">
        <f t="shared" si="0"/>
        <v>0.31000000000000227</v>
      </c>
      <c r="N32" s="281">
        <f t="shared" si="1"/>
        <v>197856.88959999999</v>
      </c>
      <c r="O32" s="974"/>
      <c r="P32" s="281">
        <f t="shared" si="2"/>
        <v>197098.81722605362</v>
      </c>
      <c r="R32" s="943" t="s">
        <v>474</v>
      </c>
      <c r="S32" s="283">
        <v>186744.22999999998</v>
      </c>
      <c r="T32" s="283">
        <v>244682.75999999998</v>
      </c>
      <c r="U32" s="283">
        <v>367121.95999999996</v>
      </c>
      <c r="V32" s="974">
        <v>57.87</v>
      </c>
      <c r="W32" s="281">
        <v>326386.8</v>
      </c>
      <c r="X32" s="281">
        <v>325136.27586206899</v>
      </c>
    </row>
    <row r="33" spans="1:24" x14ac:dyDescent="0.2">
      <c r="A33" s="975" t="s">
        <v>488</v>
      </c>
      <c r="B33" s="144">
        <v>109237.41999999998</v>
      </c>
      <c r="C33" s="144">
        <v>131517.59</v>
      </c>
      <c r="D33" s="144">
        <v>11885.809999999998</v>
      </c>
      <c r="E33" s="976"/>
      <c r="F33" s="977">
        <f>+E33*E!P24</f>
        <v>0</v>
      </c>
      <c r="G33" s="976"/>
      <c r="H33" s="940">
        <f>+E33*E!T24</f>
        <v>0</v>
      </c>
      <c r="J33" s="144">
        <f t="shared" si="0"/>
        <v>0</v>
      </c>
      <c r="K33" s="144">
        <f t="shared" si="0"/>
        <v>0</v>
      </c>
      <c r="L33" s="144">
        <f t="shared" si="0"/>
        <v>0</v>
      </c>
      <c r="M33" s="976"/>
      <c r="N33" s="977">
        <f t="shared" si="1"/>
        <v>0</v>
      </c>
      <c r="O33" s="976"/>
      <c r="P33" s="940">
        <f t="shared" si="2"/>
        <v>0</v>
      </c>
      <c r="R33" s="975" t="s">
        <v>489</v>
      </c>
      <c r="S33" s="144">
        <v>109237.41999999998</v>
      </c>
      <c r="T33" s="144">
        <v>131517.59</v>
      </c>
      <c r="U33" s="144">
        <v>11885.809999999998</v>
      </c>
      <c r="V33" s="976"/>
      <c r="W33" s="977">
        <v>0</v>
      </c>
      <c r="X33" s="940">
        <v>0</v>
      </c>
    </row>
    <row r="34" spans="1:24" x14ac:dyDescent="0.2">
      <c r="A34" s="943" t="s">
        <v>333</v>
      </c>
      <c r="B34" s="144">
        <v>433.73999999649823</v>
      </c>
      <c r="C34" s="144">
        <v>0</v>
      </c>
      <c r="D34" s="144">
        <v>1975.7100000008941</v>
      </c>
      <c r="E34" s="954"/>
      <c r="F34" s="552">
        <v>0</v>
      </c>
      <c r="G34" s="954"/>
      <c r="H34" s="552">
        <v>0</v>
      </c>
      <c r="J34" s="144">
        <f t="shared" si="0"/>
        <v>0</v>
      </c>
      <c r="K34" s="144">
        <f t="shared" si="0"/>
        <v>0</v>
      </c>
      <c r="L34" s="144">
        <f t="shared" si="0"/>
        <v>0</v>
      </c>
      <c r="M34" s="954"/>
      <c r="N34" s="552">
        <f t="shared" si="1"/>
        <v>0</v>
      </c>
      <c r="O34" s="954"/>
      <c r="P34" s="552">
        <f t="shared" si="2"/>
        <v>0</v>
      </c>
      <c r="R34" s="943" t="s">
        <v>333</v>
      </c>
      <c r="S34" s="144">
        <v>433.73999999649823</v>
      </c>
      <c r="T34" s="144">
        <v>0</v>
      </c>
      <c r="U34" s="144">
        <v>1975.7100000008941</v>
      </c>
      <c r="V34" s="954"/>
      <c r="W34" s="552">
        <v>0</v>
      </c>
      <c r="X34" s="552">
        <v>0</v>
      </c>
    </row>
    <row r="35" spans="1:24" x14ac:dyDescent="0.2">
      <c r="A35" s="943" t="s">
        <v>317</v>
      </c>
      <c r="B35" s="144">
        <v>2457.4700000000003</v>
      </c>
      <c r="C35" s="144">
        <v>3114.3999999999996</v>
      </c>
      <c r="D35" s="144">
        <v>2751.4000000000005</v>
      </c>
      <c r="E35" s="978"/>
      <c r="F35" s="552">
        <v>4000</v>
      </c>
      <c r="G35" s="978"/>
      <c r="H35" s="552">
        <f>F35</f>
        <v>4000</v>
      </c>
      <c r="J35" s="144">
        <f t="shared" si="0"/>
        <v>0</v>
      </c>
      <c r="K35" s="144">
        <f t="shared" si="0"/>
        <v>0</v>
      </c>
      <c r="L35" s="144">
        <f t="shared" si="0"/>
        <v>0</v>
      </c>
      <c r="M35" s="978"/>
      <c r="N35" s="552">
        <f t="shared" si="1"/>
        <v>0</v>
      </c>
      <c r="O35" s="978"/>
      <c r="P35" s="552">
        <f t="shared" si="2"/>
        <v>0</v>
      </c>
      <c r="R35" s="943" t="s">
        <v>317</v>
      </c>
      <c r="S35" s="144">
        <v>2457.4700000000003</v>
      </c>
      <c r="T35" s="144">
        <v>3114.3999999999996</v>
      </c>
      <c r="U35" s="144">
        <v>2751.4000000000005</v>
      </c>
      <c r="V35" s="978"/>
      <c r="W35" s="552">
        <v>4000</v>
      </c>
      <c r="X35" s="552">
        <v>4000</v>
      </c>
    </row>
    <row r="36" spans="1:24" x14ac:dyDescent="0.2">
      <c r="A36" s="979" t="s">
        <v>490</v>
      </c>
      <c r="B36" s="341">
        <f>J.2!B45</f>
        <v>0</v>
      </c>
      <c r="C36" s="341">
        <f>J.2!C45</f>
        <v>0</v>
      </c>
      <c r="D36" s="341">
        <f>J.2!D45</f>
        <v>5765891.9248000002</v>
      </c>
      <c r="E36" s="978"/>
      <c r="F36" s="552">
        <f>J.2!E45</f>
        <v>12695271.664694307</v>
      </c>
      <c r="G36" s="978"/>
      <c r="H36" s="552">
        <f>J.2!F45</f>
        <v>12413394.645460915</v>
      </c>
      <c r="J36" s="341">
        <f t="shared" si="0"/>
        <v>0</v>
      </c>
      <c r="K36" s="341">
        <f t="shared" si="0"/>
        <v>0</v>
      </c>
      <c r="L36" s="341">
        <f t="shared" si="0"/>
        <v>9.3132257461547852E-10</v>
      </c>
      <c r="M36" s="978"/>
      <c r="N36" s="552">
        <f t="shared" si="1"/>
        <v>87049.609562309459</v>
      </c>
      <c r="O36" s="978"/>
      <c r="P36" s="552">
        <f>IFERROR(H36-X36,"")</f>
        <v>-312183.68969544396</v>
      </c>
      <c r="R36" s="979" t="s">
        <v>490</v>
      </c>
      <c r="S36" s="341">
        <v>0</v>
      </c>
      <c r="T36" s="341">
        <v>0</v>
      </c>
      <c r="U36" s="341">
        <v>5765891.9247999992</v>
      </c>
      <c r="V36" s="978"/>
      <c r="W36" s="552">
        <v>12608222.055131998</v>
      </c>
      <c r="X36" s="552">
        <v>12725578.335156359</v>
      </c>
    </row>
    <row r="37" spans="1:24" ht="5.0999999999999996" customHeight="1" x14ac:dyDescent="0.2">
      <c r="A37" s="980"/>
      <c r="B37" s="937"/>
      <c r="C37" s="937"/>
      <c r="D37" s="937"/>
      <c r="E37" s="937"/>
      <c r="F37" s="938"/>
      <c r="G37" s="937"/>
      <c r="H37" s="938"/>
      <c r="J37" s="937"/>
      <c r="K37" s="937"/>
      <c r="L37" s="937"/>
      <c r="M37" s="937"/>
      <c r="N37" s="938"/>
      <c r="O37" s="937"/>
      <c r="P37" s="938"/>
      <c r="R37" s="980"/>
      <c r="S37" s="937"/>
      <c r="T37" s="937"/>
      <c r="U37" s="937"/>
      <c r="V37" s="937"/>
      <c r="W37" s="938"/>
      <c r="X37" s="938"/>
    </row>
    <row r="38" spans="1:24" ht="20.25" customHeight="1" x14ac:dyDescent="0.2">
      <c r="A38" s="981" t="s">
        <v>491</v>
      </c>
      <c r="B38" s="982">
        <f t="shared" ref="B38:D38" si="5">SUM(B28:B37)</f>
        <v>9097350.4999999981</v>
      </c>
      <c r="C38" s="982">
        <f t="shared" si="5"/>
        <v>9904619.2400000002</v>
      </c>
      <c r="D38" s="982">
        <f t="shared" si="5"/>
        <v>18368115.254800003</v>
      </c>
      <c r="E38" s="983"/>
      <c r="F38" s="982">
        <f>SUM(F28:F37)</f>
        <v>27376362.930444308</v>
      </c>
      <c r="G38" s="983"/>
      <c r="H38" s="982">
        <f>SUM(H28:H37)</f>
        <v>27120784.596822143</v>
      </c>
      <c r="J38" s="982">
        <f t="shared" si="0"/>
        <v>0</v>
      </c>
      <c r="K38" s="982">
        <f t="shared" si="0"/>
        <v>0</v>
      </c>
      <c r="L38" s="982">
        <f t="shared" si="0"/>
        <v>3.7252902984619141E-9</v>
      </c>
      <c r="M38" s="983">
        <f t="shared" si="0"/>
        <v>0</v>
      </c>
      <c r="N38" s="982">
        <f t="shared" si="1"/>
        <v>122624.47531230748</v>
      </c>
      <c r="O38" s="983"/>
      <c r="P38" s="982">
        <f t="shared" si="2"/>
        <v>-196042.25940701738</v>
      </c>
      <c r="R38" s="981" t="s">
        <v>492</v>
      </c>
      <c r="S38" s="982">
        <v>9097350.4999999981</v>
      </c>
      <c r="T38" s="982">
        <v>9904619.2400000002</v>
      </c>
      <c r="U38" s="982">
        <v>18368115.254799999</v>
      </c>
      <c r="V38" s="983"/>
      <c r="W38" s="982">
        <v>27253738.455132</v>
      </c>
      <c r="X38" s="982">
        <v>27316826.85622916</v>
      </c>
    </row>
    <row r="39" spans="1:24" ht="18.75" customHeight="1" x14ac:dyDescent="0.2"/>
  </sheetData>
  <mergeCells count="5">
    <mergeCell ref="J3:P4"/>
    <mergeCell ref="R3:X4"/>
    <mergeCell ref="B5:D5"/>
    <mergeCell ref="J5:L5"/>
    <mergeCell ref="S5:U5"/>
  </mergeCells>
  <pageMargins left="1" right="0.75" top="0.75" bottom="0.5" header="0.5" footer="0.5"/>
  <pageSetup scale="81" orientation="landscape" r:id="rId1"/>
  <headerFooter>
    <oddFooter>&amp;L&amp;KFF0000Final Rate Application&amp;CPage &amp;P of &amp;N&amp;R02/10/2017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9"/>
  <sheetViews>
    <sheetView zoomScaleNormal="100" workbookViewId="0"/>
  </sheetViews>
  <sheetFormatPr defaultRowHeight="12.75" x14ac:dyDescent="0.2"/>
  <cols>
    <col min="1" max="1" width="2.5703125" customWidth="1"/>
    <col min="2" max="2" width="26.28515625" bestFit="1" customWidth="1"/>
    <col min="5" max="5" width="13.85546875" customWidth="1"/>
    <col min="6" max="6" width="15.7109375" customWidth="1"/>
    <col min="8" max="8" width="2.42578125" customWidth="1"/>
  </cols>
  <sheetData>
    <row r="1" spans="1:5" ht="15" x14ac:dyDescent="0.25">
      <c r="A1" s="15" t="s">
        <v>0</v>
      </c>
    </row>
    <row r="2" spans="1:5" ht="15" x14ac:dyDescent="0.25">
      <c r="A2" s="16" t="s">
        <v>68</v>
      </c>
    </row>
    <row r="3" spans="1:5" ht="15" x14ac:dyDescent="0.25">
      <c r="A3" s="17" t="s">
        <v>4</v>
      </c>
    </row>
    <row r="4" spans="1:5" ht="34.5" customHeight="1" x14ac:dyDescent="0.2"/>
    <row r="5" spans="1:5" ht="21.75" customHeight="1" x14ac:dyDescent="0.2">
      <c r="B5" s="18"/>
      <c r="C5" s="18"/>
      <c r="D5" s="18"/>
      <c r="E5" s="19" t="s">
        <v>69</v>
      </c>
    </row>
    <row r="6" spans="1:5" ht="24" customHeight="1" x14ac:dyDescent="0.2">
      <c r="B6" s="20" t="s">
        <v>70</v>
      </c>
      <c r="C6" s="21"/>
      <c r="D6" s="21"/>
      <c r="E6" s="22">
        <f>+B!B31</f>
        <v>156.62</v>
      </c>
    </row>
    <row r="7" spans="1:5" ht="15" customHeight="1" x14ac:dyDescent="0.2">
      <c r="B7" s="23"/>
      <c r="C7" s="18"/>
      <c r="D7" s="18"/>
      <c r="E7" s="24"/>
    </row>
    <row r="8" spans="1:5" ht="19.5" customHeight="1" x14ac:dyDescent="0.2">
      <c r="B8" s="25" t="s">
        <v>71</v>
      </c>
      <c r="C8" s="26"/>
      <c r="D8" s="26"/>
      <c r="E8" s="27">
        <f>+B!B32</f>
        <v>186.15</v>
      </c>
    </row>
    <row r="9" spans="1:5" ht="19.5" customHeight="1" x14ac:dyDescent="0.2">
      <c r="B9" s="18"/>
      <c r="C9" s="18"/>
      <c r="D9" s="18"/>
      <c r="E9" s="18"/>
    </row>
  </sheetData>
  <pageMargins left="1" right="0.75" top="0.75" bottom="0.5" header="0.5" footer="0.5"/>
  <pageSetup orientation="portrait" r:id="rId1"/>
  <headerFooter>
    <oddFooter>&amp;L&amp;KFF0000Final Rate Application&amp;CPage &amp;P of &amp;N&amp;R02/10/2017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S59"/>
  <sheetViews>
    <sheetView showOutlineSymbols="0" zoomScaleNormal="100" zoomScaleSheetLayoutView="115" workbookViewId="0"/>
  </sheetViews>
  <sheetFormatPr defaultRowHeight="12.75" outlineLevelRow="1" x14ac:dyDescent="0.2"/>
  <cols>
    <col min="1" max="1" width="47.42578125" style="12" bestFit="1" customWidth="1"/>
    <col min="2" max="4" width="15.5703125" style="12" customWidth="1"/>
    <col min="5" max="5" width="16.7109375" style="12" customWidth="1"/>
    <col min="6" max="6" width="18.7109375" style="12" customWidth="1"/>
    <col min="7" max="7" width="3.85546875" style="12" customWidth="1"/>
    <col min="8" max="10" width="11.42578125" style="12" customWidth="1"/>
    <col min="11" max="11" width="11.42578125" style="12" bestFit="1" customWidth="1"/>
    <col min="12" max="12" width="17.7109375" style="12" bestFit="1" customWidth="1"/>
    <col min="13" max="13" width="3.7109375" style="12" customWidth="1"/>
    <col min="14" max="14" width="38.7109375" style="12" bestFit="1" customWidth="1"/>
    <col min="15" max="17" width="11.28515625" style="12" bestFit="1" customWidth="1"/>
    <col min="18" max="18" width="12.28515625" style="12" bestFit="1" customWidth="1"/>
    <col min="19" max="19" width="17.7109375" style="12" bestFit="1" customWidth="1"/>
    <col min="20" max="16384" width="9.140625" style="12"/>
  </cols>
  <sheetData>
    <row r="1" spans="1:19" ht="14.25" customHeight="1" x14ac:dyDescent="0.25">
      <c r="A1" s="112" t="str">
        <f>B!$A$2</f>
        <v>Recology San Francisco</v>
      </c>
      <c r="B1" s="432"/>
      <c r="C1" s="432"/>
      <c r="D1" s="432"/>
    </row>
    <row r="2" spans="1:19" ht="14.25" customHeight="1" x14ac:dyDescent="0.2">
      <c r="A2" s="436" t="s">
        <v>493</v>
      </c>
      <c r="B2" s="985"/>
      <c r="C2" s="985"/>
      <c r="D2" s="985"/>
    </row>
    <row r="3" spans="1:19" ht="14.25" customHeight="1" x14ac:dyDescent="0.25">
      <c r="A3" s="265" t="s">
        <v>40</v>
      </c>
      <c r="B3" s="987"/>
      <c r="C3" s="988"/>
      <c r="D3" s="986"/>
      <c r="E3" s="989"/>
      <c r="F3" s="28"/>
    </row>
    <row r="4" spans="1:19" ht="15.75" x14ac:dyDescent="0.25">
      <c r="A4" s="33"/>
      <c r="B4" s="33"/>
      <c r="C4" s="990"/>
      <c r="D4" s="991"/>
      <c r="E4" s="28"/>
      <c r="F4" s="116" t="s">
        <v>97</v>
      </c>
      <c r="H4" s="1522" t="s">
        <v>74</v>
      </c>
      <c r="I4" s="1523"/>
      <c r="J4" s="1523"/>
      <c r="K4" s="1523"/>
      <c r="L4" s="1524"/>
      <c r="M4" s="867"/>
      <c r="N4" s="1497" t="s">
        <v>75</v>
      </c>
      <c r="O4" s="1498"/>
      <c r="P4" s="1498"/>
      <c r="Q4" s="1498"/>
      <c r="R4" s="1498"/>
      <c r="S4" s="1499"/>
    </row>
    <row r="5" spans="1:19" ht="15.75" x14ac:dyDescent="0.2">
      <c r="A5" s="992"/>
      <c r="B5" s="992"/>
      <c r="C5" s="992"/>
      <c r="D5" s="992"/>
      <c r="E5" s="993"/>
      <c r="F5" s="994">
        <f>+D!$G$5</f>
        <v>0.03</v>
      </c>
      <c r="H5" s="1531"/>
      <c r="I5" s="1527"/>
      <c r="J5" s="1527"/>
      <c r="K5" s="1527"/>
      <c r="L5" s="1528"/>
      <c r="M5" s="867"/>
      <c r="N5" s="1500"/>
      <c r="O5" s="1502"/>
      <c r="P5" s="1502"/>
      <c r="Q5" s="1502"/>
      <c r="R5" s="1502"/>
      <c r="S5" s="1503"/>
    </row>
    <row r="6" spans="1:19" ht="16.5" customHeight="1" x14ac:dyDescent="0.25">
      <c r="A6" s="995" t="s">
        <v>494</v>
      </c>
      <c r="B6" s="1585" t="s">
        <v>207</v>
      </c>
      <c r="C6" s="1586"/>
      <c r="D6" s="1587"/>
      <c r="E6" s="909" t="s">
        <v>208</v>
      </c>
      <c r="F6" s="910" t="s">
        <v>209</v>
      </c>
      <c r="H6" s="1585" t="s">
        <v>207</v>
      </c>
      <c r="I6" s="1586"/>
      <c r="J6" s="1587"/>
      <c r="K6" s="909" t="s">
        <v>208</v>
      </c>
      <c r="L6" s="910" t="s">
        <v>209</v>
      </c>
      <c r="N6" s="996" t="s">
        <v>494</v>
      </c>
      <c r="O6" s="1586" t="s">
        <v>207</v>
      </c>
      <c r="P6" s="1586"/>
      <c r="Q6" s="1587"/>
      <c r="R6" s="909" t="s">
        <v>208</v>
      </c>
      <c r="S6" s="910" t="s">
        <v>209</v>
      </c>
    </row>
    <row r="7" spans="1:19" ht="16.5" customHeight="1" x14ac:dyDescent="0.25">
      <c r="A7" s="997" t="s">
        <v>2</v>
      </c>
      <c r="B7" s="912" t="s">
        <v>102</v>
      </c>
      <c r="C7" s="912" t="s">
        <v>103</v>
      </c>
      <c r="D7" s="912" t="s">
        <v>104</v>
      </c>
      <c r="E7" s="913" t="s">
        <v>99</v>
      </c>
      <c r="F7" s="914" t="s">
        <v>69</v>
      </c>
      <c r="H7" s="912" t="s">
        <v>102</v>
      </c>
      <c r="I7" s="912" t="s">
        <v>103</v>
      </c>
      <c r="J7" s="912" t="s">
        <v>104</v>
      </c>
      <c r="K7" s="913" t="s">
        <v>99</v>
      </c>
      <c r="L7" s="914" t="s">
        <v>69</v>
      </c>
      <c r="N7" s="998" t="s">
        <v>2</v>
      </c>
      <c r="O7" s="915" t="s">
        <v>102</v>
      </c>
      <c r="P7" s="912" t="s">
        <v>103</v>
      </c>
      <c r="Q7" s="912" t="s">
        <v>104</v>
      </c>
      <c r="R7" s="913" t="s">
        <v>99</v>
      </c>
      <c r="S7" s="914" t="s">
        <v>69</v>
      </c>
    </row>
    <row r="8" spans="1:19" ht="8.85" customHeight="1" x14ac:dyDescent="0.2">
      <c r="A8" s="999"/>
      <c r="B8" s="999"/>
      <c r="C8" s="999"/>
      <c r="D8" s="999"/>
      <c r="E8" s="1000"/>
      <c r="F8" s="1000"/>
      <c r="H8" s="999"/>
      <c r="I8" s="999"/>
      <c r="J8" s="999"/>
      <c r="K8" s="1000"/>
      <c r="L8" s="1000"/>
      <c r="N8" s="999"/>
      <c r="O8" s="999"/>
      <c r="P8" s="999"/>
      <c r="Q8" s="999"/>
      <c r="R8" s="1000"/>
      <c r="S8" s="1000"/>
    </row>
    <row r="9" spans="1:19" x14ac:dyDescent="0.2">
      <c r="A9" s="1001" t="s">
        <v>495</v>
      </c>
      <c r="B9" s="1002">
        <v>9.6300000000000008</v>
      </c>
      <c r="C9" s="1002">
        <v>9.7799999999999994</v>
      </c>
      <c r="D9" s="1002">
        <v>9.94</v>
      </c>
      <c r="E9" s="1003"/>
      <c r="F9" s="1003"/>
      <c r="H9" s="1002">
        <f>IFERROR(B9-O9,"")</f>
        <v>0</v>
      </c>
      <c r="I9" s="1002">
        <f>IFERROR(C9-P9,"")</f>
        <v>0</v>
      </c>
      <c r="J9" s="1002">
        <f>IFERROR(D9-Q9,"")</f>
        <v>0</v>
      </c>
      <c r="K9" s="1002"/>
      <c r="L9" s="1002"/>
      <c r="N9" s="1001" t="s">
        <v>495</v>
      </c>
      <c r="O9" s="1002">
        <v>9.6300000000000008</v>
      </c>
      <c r="P9" s="1002">
        <v>9.7799999999999994</v>
      </c>
      <c r="Q9" s="1002">
        <v>9.94</v>
      </c>
      <c r="R9" s="1003"/>
      <c r="S9" s="1003"/>
    </row>
    <row r="10" spans="1:19" x14ac:dyDescent="0.2">
      <c r="A10" s="1001" t="s">
        <v>496</v>
      </c>
      <c r="B10" s="1004">
        <v>0.52</v>
      </c>
      <c r="C10" s="1004">
        <v>0.52</v>
      </c>
      <c r="D10" s="1004">
        <v>0.52</v>
      </c>
      <c r="E10" s="1005"/>
      <c r="F10" s="1005"/>
      <c r="H10" s="1004">
        <f t="shared" ref="H10:L47" si="0">IFERROR(B10-O10,"")</f>
        <v>0</v>
      </c>
      <c r="I10" s="1004">
        <f t="shared" si="0"/>
        <v>0</v>
      </c>
      <c r="J10" s="1004">
        <f t="shared" si="0"/>
        <v>0</v>
      </c>
      <c r="K10" s="1004"/>
      <c r="L10" s="1004"/>
      <c r="N10" s="1001" t="s">
        <v>496</v>
      </c>
      <c r="O10" s="1004">
        <v>0.52</v>
      </c>
      <c r="P10" s="1004">
        <v>0.52</v>
      </c>
      <c r="Q10" s="1004">
        <v>0.52</v>
      </c>
      <c r="R10" s="1005"/>
      <c r="S10" s="1005"/>
    </row>
    <row r="11" spans="1:19" x14ac:dyDescent="0.2">
      <c r="A11" s="1001" t="s">
        <v>497</v>
      </c>
      <c r="B11" s="1004">
        <v>1.4</v>
      </c>
      <c r="C11" s="1004">
        <v>1.4</v>
      </c>
      <c r="D11" s="1004">
        <v>1.4</v>
      </c>
      <c r="E11" s="1005"/>
      <c r="F11" s="1005"/>
      <c r="H11" s="1004">
        <f t="shared" si="0"/>
        <v>0</v>
      </c>
      <c r="I11" s="1004">
        <f t="shared" si="0"/>
        <v>0</v>
      </c>
      <c r="J11" s="1004">
        <f t="shared" si="0"/>
        <v>0</v>
      </c>
      <c r="K11" s="1004"/>
      <c r="L11" s="1004"/>
      <c r="N11" s="1001" t="s">
        <v>497</v>
      </c>
      <c r="O11" s="1004">
        <v>1.4</v>
      </c>
      <c r="P11" s="1004">
        <v>1.4</v>
      </c>
      <c r="Q11" s="1004">
        <v>1.4</v>
      </c>
      <c r="R11" s="1005"/>
      <c r="S11" s="1005"/>
    </row>
    <row r="12" spans="1:19" x14ac:dyDescent="0.2">
      <c r="A12" s="1001" t="s">
        <v>498</v>
      </c>
      <c r="B12" s="1004">
        <v>2.5000000000000001E-2</v>
      </c>
      <c r="C12" s="1004">
        <v>2.5000000000000001E-2</v>
      </c>
      <c r="D12" s="1004">
        <v>2.5000000000000001E-2</v>
      </c>
      <c r="E12" s="1005"/>
      <c r="F12" s="1005"/>
      <c r="H12" s="1004">
        <f t="shared" si="0"/>
        <v>0</v>
      </c>
      <c r="I12" s="1004">
        <f t="shared" si="0"/>
        <v>0</v>
      </c>
      <c r="J12" s="1004">
        <f t="shared" si="0"/>
        <v>0</v>
      </c>
      <c r="K12" s="1004"/>
      <c r="L12" s="1004"/>
      <c r="N12" s="1001" t="s">
        <v>498</v>
      </c>
      <c r="O12" s="1004">
        <v>2.5000000000000001E-2</v>
      </c>
      <c r="P12" s="1004">
        <v>2.5000000000000001E-2</v>
      </c>
      <c r="Q12" s="1004">
        <v>2.5000000000000001E-2</v>
      </c>
      <c r="R12" s="1005"/>
      <c r="S12" s="1005"/>
    </row>
    <row r="13" spans="1:19" x14ac:dyDescent="0.2">
      <c r="A13" s="1001" t="s">
        <v>499</v>
      </c>
      <c r="B13" s="1004">
        <v>0.27</v>
      </c>
      <c r="C13" s="1004">
        <v>0.27</v>
      </c>
      <c r="D13" s="1004">
        <v>0.27</v>
      </c>
      <c r="E13" s="1005"/>
      <c r="F13" s="1005"/>
      <c r="H13" s="1004">
        <f t="shared" si="0"/>
        <v>0</v>
      </c>
      <c r="I13" s="1004">
        <f t="shared" si="0"/>
        <v>0</v>
      </c>
      <c r="J13" s="1004">
        <f t="shared" si="0"/>
        <v>0</v>
      </c>
      <c r="K13" s="1004"/>
      <c r="L13" s="1004"/>
      <c r="N13" s="1001" t="s">
        <v>499</v>
      </c>
      <c r="O13" s="1004">
        <v>0.27</v>
      </c>
      <c r="P13" s="1004">
        <v>0.27</v>
      </c>
      <c r="Q13" s="1004">
        <v>0.27</v>
      </c>
      <c r="R13" s="1005"/>
      <c r="S13" s="1005"/>
    </row>
    <row r="14" spans="1:19" ht="5.25" customHeight="1" x14ac:dyDescent="0.2">
      <c r="A14" s="1001"/>
      <c r="B14" s="1006"/>
      <c r="C14" s="1006"/>
      <c r="D14" s="1006"/>
      <c r="E14" s="1006"/>
      <c r="F14" s="1006"/>
      <c r="H14" s="1006"/>
      <c r="I14" s="1006"/>
      <c r="J14" s="1006"/>
      <c r="K14" s="1007"/>
      <c r="L14" s="1007"/>
      <c r="N14" s="1001"/>
      <c r="O14" s="1006"/>
      <c r="P14" s="1006"/>
      <c r="Q14" s="1006"/>
      <c r="R14" s="1006"/>
      <c r="S14" s="1006"/>
    </row>
    <row r="15" spans="1:19" ht="13.5" thickBot="1" x14ac:dyDescent="0.25">
      <c r="A15" s="1008" t="s">
        <v>500</v>
      </c>
      <c r="B15" s="1009">
        <f t="shared" ref="B15:D15" si="1">SUM(B9:B13)</f>
        <v>11.845000000000001</v>
      </c>
      <c r="C15" s="1009">
        <f t="shared" si="1"/>
        <v>11.994999999999999</v>
      </c>
      <c r="D15" s="1009">
        <f t="shared" si="1"/>
        <v>12.154999999999999</v>
      </c>
      <c r="E15" s="1009"/>
      <c r="F15" s="1009"/>
      <c r="H15" s="1009">
        <f t="shared" si="0"/>
        <v>0</v>
      </c>
      <c r="I15" s="1009">
        <f t="shared" si="0"/>
        <v>0</v>
      </c>
      <c r="J15" s="1009">
        <f t="shared" si="0"/>
        <v>0</v>
      </c>
      <c r="K15" s="1009">
        <f t="shared" si="0"/>
        <v>0</v>
      </c>
      <c r="L15" s="1009">
        <f t="shared" si="0"/>
        <v>0</v>
      </c>
      <c r="N15" s="1008" t="s">
        <v>500</v>
      </c>
      <c r="O15" s="1009">
        <v>11.845000000000001</v>
      </c>
      <c r="P15" s="1009">
        <v>11.994999999999999</v>
      </c>
      <c r="Q15" s="1009">
        <v>12.154999999999999</v>
      </c>
      <c r="R15" s="1009"/>
      <c r="S15" s="1009"/>
    </row>
    <row r="16" spans="1:19" ht="5.0999999999999996" customHeight="1" thickTop="1" x14ac:dyDescent="0.2">
      <c r="A16" s="1010"/>
      <c r="B16" s="1004"/>
      <c r="C16" s="1004"/>
      <c r="D16" s="1004"/>
      <c r="E16" s="1011"/>
      <c r="F16" s="1011"/>
      <c r="H16" s="1004">
        <f t="shared" si="0"/>
        <v>0</v>
      </c>
      <c r="I16" s="1004">
        <f t="shared" si="0"/>
        <v>0</v>
      </c>
      <c r="J16" s="1004">
        <f t="shared" si="0"/>
        <v>0</v>
      </c>
      <c r="K16" s="1011">
        <f t="shared" si="0"/>
        <v>0</v>
      </c>
      <c r="L16" s="1011">
        <f t="shared" si="0"/>
        <v>0</v>
      </c>
      <c r="N16" s="1010"/>
      <c r="O16" s="1004"/>
      <c r="P16" s="1004"/>
      <c r="Q16" s="1004"/>
      <c r="R16" s="1011"/>
      <c r="S16" s="1011"/>
    </row>
    <row r="17" spans="1:19" x14ac:dyDescent="0.2">
      <c r="A17" s="1001" t="s">
        <v>501</v>
      </c>
      <c r="B17" s="1004"/>
      <c r="C17" s="1004"/>
      <c r="D17" s="1002">
        <f>22.73+0.85</f>
        <v>23.580000000000002</v>
      </c>
      <c r="E17" s="1002">
        <f>23.34+0.85</f>
        <v>24.19</v>
      </c>
      <c r="F17" s="1002">
        <f t="shared" ref="F17" si="2">+E17*(1+$F$5)</f>
        <v>24.915700000000001</v>
      </c>
      <c r="H17" s="1004"/>
      <c r="I17" s="1004"/>
      <c r="J17" s="1002">
        <f t="shared" si="0"/>
        <v>0.85000000000000142</v>
      </c>
      <c r="K17" s="1002">
        <f t="shared" si="0"/>
        <v>0.85000000000000142</v>
      </c>
      <c r="L17" s="1002">
        <f t="shared" si="0"/>
        <v>0.87549999999999883</v>
      </c>
      <c r="N17" s="1001" t="s">
        <v>501</v>
      </c>
      <c r="O17" s="1004"/>
      <c r="P17" s="1004"/>
      <c r="Q17" s="1002">
        <v>22.73</v>
      </c>
      <c r="R17" s="1002">
        <v>23.34</v>
      </c>
      <c r="S17" s="1002">
        <v>24.040200000000002</v>
      </c>
    </row>
    <row r="18" spans="1:19" x14ac:dyDescent="0.2">
      <c r="A18" s="1001" t="s">
        <v>502</v>
      </c>
      <c r="B18" s="1004"/>
      <c r="C18" s="1004"/>
      <c r="D18" s="1004">
        <v>5</v>
      </c>
      <c r="E18" s="1004">
        <v>5</v>
      </c>
      <c r="F18" s="1004">
        <f>+E18</f>
        <v>5</v>
      </c>
      <c r="H18" s="1004"/>
      <c r="I18" s="1004"/>
      <c r="J18" s="1004">
        <f t="shared" si="0"/>
        <v>0</v>
      </c>
      <c r="K18" s="1004">
        <f t="shared" si="0"/>
        <v>0</v>
      </c>
      <c r="L18" s="1004">
        <f t="shared" si="0"/>
        <v>-0.15000000000000036</v>
      </c>
      <c r="N18" s="1001" t="s">
        <v>502</v>
      </c>
      <c r="O18" s="1004"/>
      <c r="P18" s="1004"/>
      <c r="Q18" s="1004">
        <v>5</v>
      </c>
      <c r="R18" s="1004">
        <v>5</v>
      </c>
      <c r="S18" s="1004">
        <v>5.15</v>
      </c>
    </row>
    <row r="19" spans="1:19" x14ac:dyDescent="0.2">
      <c r="A19" s="1001" t="s">
        <v>503</v>
      </c>
      <c r="B19" s="1004"/>
      <c r="C19" s="1004"/>
      <c r="D19" s="1004">
        <v>1.03</v>
      </c>
      <c r="E19" s="1004">
        <v>1.03</v>
      </c>
      <c r="F19" s="1004">
        <f t="shared" ref="F19:F21" si="3">+E19</f>
        <v>1.03</v>
      </c>
      <c r="H19" s="1004"/>
      <c r="I19" s="1004"/>
      <c r="J19" s="1004">
        <f t="shared" si="0"/>
        <v>0</v>
      </c>
      <c r="K19" s="1004">
        <f t="shared" si="0"/>
        <v>0</v>
      </c>
      <c r="L19" s="1004">
        <f t="shared" si="0"/>
        <v>-3.0899999999999928E-2</v>
      </c>
      <c r="N19" s="1001" t="s">
        <v>503</v>
      </c>
      <c r="O19" s="1004"/>
      <c r="P19" s="1004"/>
      <c r="Q19" s="1004">
        <v>1.03</v>
      </c>
      <c r="R19" s="1004">
        <v>1.03</v>
      </c>
      <c r="S19" s="1004">
        <v>1.0609</v>
      </c>
    </row>
    <row r="20" spans="1:19" x14ac:dyDescent="0.2">
      <c r="A20" s="1001" t="s">
        <v>504</v>
      </c>
      <c r="B20" s="1004"/>
      <c r="C20" s="1004"/>
      <c r="D20" s="1004">
        <v>0.21</v>
      </c>
      <c r="E20" s="1004">
        <v>0.21</v>
      </c>
      <c r="F20" s="1004">
        <f t="shared" si="3"/>
        <v>0.21</v>
      </c>
      <c r="H20" s="1004"/>
      <c r="I20" s="1004"/>
      <c r="J20" s="1004">
        <f t="shared" si="0"/>
        <v>0</v>
      </c>
      <c r="K20" s="1004">
        <f t="shared" si="0"/>
        <v>0</v>
      </c>
      <c r="L20" s="1004">
        <f t="shared" si="0"/>
        <v>-6.3E-3</v>
      </c>
      <c r="N20" s="1001" t="s">
        <v>504</v>
      </c>
      <c r="O20" s="1004"/>
      <c r="P20" s="1004"/>
      <c r="Q20" s="1004">
        <v>0.21</v>
      </c>
      <c r="R20" s="1004">
        <v>0.21</v>
      </c>
      <c r="S20" s="1004">
        <v>0.21629999999999999</v>
      </c>
    </row>
    <row r="21" spans="1:19" x14ac:dyDescent="0.2">
      <c r="A21" s="1001" t="s">
        <v>505</v>
      </c>
      <c r="B21" s="1004"/>
      <c r="C21" s="1004"/>
      <c r="D21" s="1004">
        <v>1.4</v>
      </c>
      <c r="E21" s="1004">
        <v>1.4</v>
      </c>
      <c r="F21" s="1004">
        <f t="shared" si="3"/>
        <v>1.4</v>
      </c>
      <c r="H21" s="1004"/>
      <c r="I21" s="1004"/>
      <c r="J21" s="1004">
        <f t="shared" si="0"/>
        <v>0</v>
      </c>
      <c r="K21" s="1004">
        <f t="shared" si="0"/>
        <v>0</v>
      </c>
      <c r="L21" s="1004">
        <f t="shared" si="0"/>
        <v>-4.2000000000000037E-2</v>
      </c>
      <c r="N21" s="1001" t="s">
        <v>505</v>
      </c>
      <c r="O21" s="1004"/>
      <c r="P21" s="1004"/>
      <c r="Q21" s="1004">
        <v>1.4</v>
      </c>
      <c r="R21" s="1004">
        <v>1.4</v>
      </c>
      <c r="S21" s="1004">
        <v>1.4419999999999999</v>
      </c>
    </row>
    <row r="22" spans="1:19" hidden="1" x14ac:dyDescent="0.2">
      <c r="A22" s="1001" t="s">
        <v>506</v>
      </c>
      <c r="B22" s="1004"/>
      <c r="C22" s="1004"/>
      <c r="D22" s="1004"/>
      <c r="E22" s="1004"/>
      <c r="F22" s="1004"/>
      <c r="H22" s="1004"/>
      <c r="I22" s="1004"/>
      <c r="J22" s="1004">
        <f t="shared" si="0"/>
        <v>-0.85</v>
      </c>
      <c r="K22" s="1004">
        <f t="shared" si="0"/>
        <v>-0.85</v>
      </c>
      <c r="L22" s="1004">
        <f t="shared" si="0"/>
        <v>-0.87549999999999994</v>
      </c>
      <c r="N22" s="1001" t="s">
        <v>506</v>
      </c>
      <c r="O22" s="1004"/>
      <c r="P22" s="1004"/>
      <c r="Q22" s="1004">
        <v>0.85</v>
      </c>
      <c r="R22" s="1004">
        <v>0.85</v>
      </c>
      <c r="S22" s="1004">
        <v>0.87549999999999994</v>
      </c>
    </row>
    <row r="23" spans="1:19" ht="3" customHeight="1" x14ac:dyDescent="0.2">
      <c r="A23" s="1012"/>
      <c r="B23" s="1006"/>
      <c r="C23" s="1006"/>
      <c r="D23" s="1006"/>
      <c r="E23" s="1006"/>
      <c r="F23" s="1006"/>
      <c r="H23" s="1006"/>
      <c r="I23" s="1006"/>
      <c r="J23" s="1006"/>
      <c r="K23" s="1006"/>
      <c r="L23" s="1006"/>
      <c r="N23" s="1012"/>
      <c r="O23" s="1006"/>
      <c r="P23" s="1006"/>
      <c r="Q23" s="1006"/>
      <c r="R23" s="1006"/>
      <c r="S23" s="1006"/>
    </row>
    <row r="24" spans="1:19" ht="13.5" thickBot="1" x14ac:dyDescent="0.25">
      <c r="A24" s="1013" t="s">
        <v>507</v>
      </c>
      <c r="B24" s="1009">
        <v>0</v>
      </c>
      <c r="C24" s="1009">
        <v>0</v>
      </c>
      <c r="D24" s="1009">
        <f>SUM(D17:D22)</f>
        <v>31.220000000000002</v>
      </c>
      <c r="E24" s="1009">
        <f>SUM(E17:E22)</f>
        <v>31.830000000000002</v>
      </c>
      <c r="F24" s="1009">
        <f>SUM(F17:F22)</f>
        <v>32.555700000000002</v>
      </c>
      <c r="H24" s="1009">
        <f t="shared" si="0"/>
        <v>0</v>
      </c>
      <c r="I24" s="1009">
        <f t="shared" si="0"/>
        <v>0</v>
      </c>
      <c r="J24" s="1009">
        <f t="shared" si="0"/>
        <v>0</v>
      </c>
      <c r="K24" s="1009">
        <f t="shared" si="0"/>
        <v>0</v>
      </c>
      <c r="L24" s="1009">
        <f t="shared" si="0"/>
        <v>-0.22920000000000584</v>
      </c>
      <c r="N24" s="1013" t="s">
        <v>507</v>
      </c>
      <c r="O24" s="1009">
        <v>0</v>
      </c>
      <c r="P24" s="1009">
        <v>0</v>
      </c>
      <c r="Q24" s="1009">
        <v>31.220000000000002</v>
      </c>
      <c r="R24" s="1009">
        <v>31.830000000000002</v>
      </c>
      <c r="S24" s="1009">
        <v>32.784900000000007</v>
      </c>
    </row>
    <row r="25" spans="1:19" ht="13.5" thickTop="1" x14ac:dyDescent="0.2">
      <c r="A25" s="1012"/>
      <c r="B25" s="1014"/>
      <c r="C25" s="1014"/>
      <c r="D25" s="1014"/>
      <c r="E25" s="1014"/>
      <c r="F25" s="1014"/>
      <c r="H25" s="1014"/>
      <c r="I25" s="1014"/>
      <c r="J25" s="1014"/>
      <c r="K25" s="1014"/>
      <c r="L25" s="1014"/>
      <c r="N25" s="1012"/>
      <c r="O25" s="1014"/>
      <c r="P25" s="1014"/>
      <c r="Q25" s="1014"/>
      <c r="R25" s="1014"/>
      <c r="S25" s="1014"/>
    </row>
    <row r="26" spans="1:19" x14ac:dyDescent="0.2">
      <c r="A26" s="1015" t="s">
        <v>508</v>
      </c>
      <c r="B26" s="1016">
        <v>368612.24</v>
      </c>
      <c r="C26" s="1016">
        <v>381783.08</v>
      </c>
      <c r="D26" s="1016">
        <v>212715.78</v>
      </c>
      <c r="E26" s="1016">
        <v>0</v>
      </c>
      <c r="F26" s="1016">
        <v>0</v>
      </c>
      <c r="H26" s="1016">
        <f t="shared" si="0"/>
        <v>0</v>
      </c>
      <c r="I26" s="1016">
        <f t="shared" si="0"/>
        <v>0</v>
      </c>
      <c r="J26" s="1016">
        <f t="shared" si="0"/>
        <v>0</v>
      </c>
      <c r="K26" s="1016">
        <f t="shared" si="0"/>
        <v>0</v>
      </c>
      <c r="L26" s="1016">
        <f t="shared" si="0"/>
        <v>0</v>
      </c>
      <c r="N26" s="1015" t="s">
        <v>508</v>
      </c>
      <c r="O26" s="1016">
        <v>368612.24</v>
      </c>
      <c r="P26" s="1016">
        <v>381783.08</v>
      </c>
      <c r="Q26" s="1016">
        <v>212715.78</v>
      </c>
      <c r="R26" s="1016">
        <v>0</v>
      </c>
      <c r="S26" s="1016">
        <v>0</v>
      </c>
    </row>
    <row r="27" spans="1:19" x14ac:dyDescent="0.2">
      <c r="A27" s="1015" t="s">
        <v>509</v>
      </c>
      <c r="B27" s="1016">
        <v>0</v>
      </c>
      <c r="C27" s="1016">
        <v>0</v>
      </c>
      <c r="D27" s="1016">
        <v>184685.84</v>
      </c>
      <c r="E27" s="1016">
        <f>+E!$P$62-E!$P$24</f>
        <v>398846.10947830055</v>
      </c>
      <c r="F27" s="1016">
        <f>+E!$T$62-E!$T$24</f>
        <v>381297.11987335293</v>
      </c>
      <c r="H27" s="1016">
        <f t="shared" si="0"/>
        <v>0</v>
      </c>
      <c r="I27" s="1016">
        <f t="shared" si="0"/>
        <v>0</v>
      </c>
      <c r="J27" s="1016">
        <f t="shared" si="0"/>
        <v>0</v>
      </c>
      <c r="K27" s="1016">
        <f t="shared" si="0"/>
        <v>2734.8290783006232</v>
      </c>
      <c r="L27" s="1016">
        <f t="shared" si="0"/>
        <v>-6856.5220519345603</v>
      </c>
      <c r="N27" s="1015" t="s">
        <v>509</v>
      </c>
      <c r="O27" s="1016">
        <v>0</v>
      </c>
      <c r="P27" s="1016">
        <v>0</v>
      </c>
      <c r="Q27" s="1016">
        <v>184685.84</v>
      </c>
      <c r="R27" s="1016">
        <v>396111.28039999993</v>
      </c>
      <c r="S27" s="1016">
        <v>388153.64192528749</v>
      </c>
    </row>
    <row r="28" spans="1:19" x14ac:dyDescent="0.2">
      <c r="A28" s="1012"/>
      <c r="B28" s="1017"/>
      <c r="C28" s="1017"/>
      <c r="D28" s="1017"/>
      <c r="E28" s="1017"/>
      <c r="F28" s="1017"/>
      <c r="H28" s="1017"/>
      <c r="I28" s="1017"/>
      <c r="J28" s="1017"/>
      <c r="K28" s="1017"/>
      <c r="L28" s="1017"/>
      <c r="N28" s="1012"/>
      <c r="O28" s="1017"/>
      <c r="P28" s="1017"/>
      <c r="Q28" s="1017"/>
      <c r="R28" s="1017"/>
      <c r="S28" s="1017"/>
    </row>
    <row r="29" spans="1:19" x14ac:dyDescent="0.2">
      <c r="A29" s="1001" t="s">
        <v>495</v>
      </c>
      <c r="B29" s="1018">
        <f t="shared" ref="B29:F33" si="4">B9*B$26</f>
        <v>3549735.8712000004</v>
      </c>
      <c r="C29" s="1018">
        <f t="shared" si="4"/>
        <v>3733838.5224000001</v>
      </c>
      <c r="D29" s="1018">
        <f t="shared" si="4"/>
        <v>2114394.8531999998</v>
      </c>
      <c r="E29" s="1018">
        <f t="shared" si="4"/>
        <v>0</v>
      </c>
      <c r="F29" s="1018">
        <f t="shared" si="4"/>
        <v>0</v>
      </c>
      <c r="H29" s="1018">
        <f t="shared" si="0"/>
        <v>0</v>
      </c>
      <c r="I29" s="1018">
        <f t="shared" si="0"/>
        <v>0</v>
      </c>
      <c r="J29" s="1018">
        <f t="shared" si="0"/>
        <v>0</v>
      </c>
      <c r="K29" s="1018">
        <f t="shared" si="0"/>
        <v>0</v>
      </c>
      <c r="L29" s="1018">
        <f t="shared" si="0"/>
        <v>0</v>
      </c>
      <c r="N29" s="1001" t="s">
        <v>495</v>
      </c>
      <c r="O29" s="1018">
        <v>3549735.8712000004</v>
      </c>
      <c r="P29" s="1018">
        <v>3733838.5224000001</v>
      </c>
      <c r="Q29" s="1018">
        <v>2114394.8531999998</v>
      </c>
      <c r="R29" s="1018">
        <v>0</v>
      </c>
      <c r="S29" s="1018">
        <v>0</v>
      </c>
    </row>
    <row r="30" spans="1:19" x14ac:dyDescent="0.2">
      <c r="A30" s="1019" t="s">
        <v>496</v>
      </c>
      <c r="B30" s="1020">
        <f t="shared" si="4"/>
        <v>191678.36480000001</v>
      </c>
      <c r="C30" s="1020">
        <f t="shared" si="4"/>
        <v>198527.20160000003</v>
      </c>
      <c r="D30" s="1020">
        <f t="shared" si="4"/>
        <v>110612.2056</v>
      </c>
      <c r="E30" s="1020">
        <f t="shared" si="4"/>
        <v>0</v>
      </c>
      <c r="F30" s="1020">
        <f t="shared" si="4"/>
        <v>0</v>
      </c>
      <c r="H30" s="1020">
        <f t="shared" si="0"/>
        <v>0</v>
      </c>
      <c r="I30" s="1020">
        <f t="shared" si="0"/>
        <v>0</v>
      </c>
      <c r="J30" s="1020">
        <f t="shared" si="0"/>
        <v>0</v>
      </c>
      <c r="K30" s="1020">
        <f t="shared" si="0"/>
        <v>0</v>
      </c>
      <c r="L30" s="1020">
        <f t="shared" si="0"/>
        <v>0</v>
      </c>
      <c r="N30" s="1019" t="s">
        <v>496</v>
      </c>
      <c r="O30" s="1020">
        <v>191678.36480000001</v>
      </c>
      <c r="P30" s="1020">
        <v>198527.20160000003</v>
      </c>
      <c r="Q30" s="1020">
        <v>110612.2056</v>
      </c>
      <c r="R30" s="1020">
        <v>0</v>
      </c>
      <c r="S30" s="1020">
        <v>0</v>
      </c>
    </row>
    <row r="31" spans="1:19" x14ac:dyDescent="0.2">
      <c r="A31" s="1019" t="s">
        <v>505</v>
      </c>
      <c r="B31" s="1020">
        <f t="shared" si="4"/>
        <v>516057.13599999994</v>
      </c>
      <c r="C31" s="1020">
        <f t="shared" si="4"/>
        <v>534496.31200000003</v>
      </c>
      <c r="D31" s="1020">
        <f t="shared" si="4"/>
        <v>297802.092</v>
      </c>
      <c r="E31" s="1020">
        <f t="shared" si="4"/>
        <v>0</v>
      </c>
      <c r="F31" s="1020">
        <f t="shared" si="4"/>
        <v>0</v>
      </c>
      <c r="H31" s="1020">
        <f t="shared" si="0"/>
        <v>0</v>
      </c>
      <c r="I31" s="1020">
        <f t="shared" si="0"/>
        <v>0</v>
      </c>
      <c r="J31" s="1020">
        <f t="shared" si="0"/>
        <v>0</v>
      </c>
      <c r="K31" s="1020">
        <f t="shared" si="0"/>
        <v>0</v>
      </c>
      <c r="L31" s="1020">
        <f t="shared" si="0"/>
        <v>0</v>
      </c>
      <c r="N31" s="1019" t="s">
        <v>497</v>
      </c>
      <c r="O31" s="1020">
        <v>516057.13599999994</v>
      </c>
      <c r="P31" s="1020">
        <v>534496.31200000003</v>
      </c>
      <c r="Q31" s="1020">
        <v>297802.092</v>
      </c>
      <c r="R31" s="1020">
        <v>0</v>
      </c>
      <c r="S31" s="1020">
        <v>0</v>
      </c>
    </row>
    <row r="32" spans="1:19" x14ac:dyDescent="0.2">
      <c r="A32" s="1010" t="s">
        <v>498</v>
      </c>
      <c r="B32" s="1020">
        <f t="shared" si="4"/>
        <v>9215.3060000000005</v>
      </c>
      <c r="C32" s="1020">
        <f t="shared" si="4"/>
        <v>9544.5770000000011</v>
      </c>
      <c r="D32" s="1020">
        <f t="shared" si="4"/>
        <v>5317.8945000000003</v>
      </c>
      <c r="E32" s="1020">
        <f t="shared" si="4"/>
        <v>0</v>
      </c>
      <c r="F32" s="1020">
        <f t="shared" si="4"/>
        <v>0</v>
      </c>
      <c r="H32" s="1020">
        <f t="shared" si="0"/>
        <v>0</v>
      </c>
      <c r="I32" s="1020">
        <f t="shared" si="0"/>
        <v>0</v>
      </c>
      <c r="J32" s="1020">
        <f t="shared" si="0"/>
        <v>0</v>
      </c>
      <c r="K32" s="1020">
        <f t="shared" si="0"/>
        <v>0</v>
      </c>
      <c r="L32" s="1020">
        <f t="shared" si="0"/>
        <v>0</v>
      </c>
      <c r="N32" s="1010" t="s">
        <v>498</v>
      </c>
      <c r="O32" s="1020">
        <v>9215.3060000000005</v>
      </c>
      <c r="P32" s="1020">
        <v>9544.5770000000011</v>
      </c>
      <c r="Q32" s="1020">
        <v>5317.8945000000003</v>
      </c>
      <c r="R32" s="1020">
        <v>0</v>
      </c>
      <c r="S32" s="1020">
        <v>0</v>
      </c>
    </row>
    <row r="33" spans="1:19" x14ac:dyDescent="0.2">
      <c r="A33" s="1010" t="s">
        <v>499</v>
      </c>
      <c r="B33" s="1020">
        <f t="shared" si="4"/>
        <v>99525.304799999998</v>
      </c>
      <c r="C33" s="1020">
        <f t="shared" si="4"/>
        <v>103081.43160000001</v>
      </c>
      <c r="D33" s="1020">
        <f t="shared" si="4"/>
        <v>57433.260600000001</v>
      </c>
      <c r="E33" s="1020">
        <f t="shared" si="4"/>
        <v>0</v>
      </c>
      <c r="F33" s="1020">
        <f t="shared" si="4"/>
        <v>0</v>
      </c>
      <c r="H33" s="1020">
        <f t="shared" si="0"/>
        <v>0</v>
      </c>
      <c r="I33" s="1020">
        <f t="shared" si="0"/>
        <v>0</v>
      </c>
      <c r="J33" s="1020">
        <f t="shared" si="0"/>
        <v>0</v>
      </c>
      <c r="K33" s="1020">
        <f t="shared" si="0"/>
        <v>0</v>
      </c>
      <c r="L33" s="1020">
        <f t="shared" si="0"/>
        <v>0</v>
      </c>
      <c r="N33" s="1010" t="s">
        <v>499</v>
      </c>
      <c r="O33" s="1020">
        <v>99525.304799999998</v>
      </c>
      <c r="P33" s="1020">
        <v>103081.43160000001</v>
      </c>
      <c r="Q33" s="1020">
        <v>57433.260600000001</v>
      </c>
      <c r="R33" s="1020">
        <v>0</v>
      </c>
      <c r="S33" s="1020">
        <v>0</v>
      </c>
    </row>
    <row r="34" spans="1:19" x14ac:dyDescent="0.2">
      <c r="A34" s="1010" t="s">
        <v>510</v>
      </c>
      <c r="B34" s="1020">
        <v>212714.68720000051</v>
      </c>
      <c r="C34" s="1020">
        <v>419742.43540000077</v>
      </c>
      <c r="D34" s="1020">
        <v>-452.92590000061318</v>
      </c>
      <c r="E34" s="1020"/>
      <c r="F34" s="1020"/>
      <c r="H34" s="1020">
        <f t="shared" si="0"/>
        <v>0</v>
      </c>
      <c r="I34" s="1020">
        <f t="shared" si="0"/>
        <v>0</v>
      </c>
      <c r="J34" s="1020">
        <f t="shared" si="0"/>
        <v>0</v>
      </c>
      <c r="K34" s="1020">
        <f t="shared" si="0"/>
        <v>0</v>
      </c>
      <c r="L34" s="1020">
        <f t="shared" si="0"/>
        <v>0</v>
      </c>
      <c r="N34" s="1010" t="s">
        <v>510</v>
      </c>
      <c r="O34" s="1020">
        <v>212714.68720000051</v>
      </c>
      <c r="P34" s="1020">
        <v>419742.43540000077</v>
      </c>
      <c r="Q34" s="1020">
        <v>-452.92590000061318</v>
      </c>
      <c r="R34" s="1020"/>
      <c r="S34" s="1020"/>
    </row>
    <row r="35" spans="1:19" ht="5.0999999999999996" customHeight="1" x14ac:dyDescent="0.2">
      <c r="A35" s="1010"/>
      <c r="B35" s="1021"/>
      <c r="C35" s="1021"/>
      <c r="D35" s="1021"/>
      <c r="E35" s="1021"/>
      <c r="F35" s="1021"/>
      <c r="H35" s="1021"/>
      <c r="I35" s="1021"/>
      <c r="J35" s="1021"/>
      <c r="K35" s="1021"/>
      <c r="L35" s="1021"/>
      <c r="N35" s="1010"/>
      <c r="O35" s="1021"/>
      <c r="P35" s="1021"/>
      <c r="Q35" s="1021"/>
      <c r="R35" s="1021"/>
      <c r="S35" s="1021"/>
    </row>
    <row r="36" spans="1:19" ht="13.5" thickBot="1" x14ac:dyDescent="0.25">
      <c r="A36" s="1013" t="s">
        <v>511</v>
      </c>
      <c r="B36" s="1022">
        <f t="shared" ref="B36:F36" si="5">SUM(B29:B35)</f>
        <v>4578926.6700000009</v>
      </c>
      <c r="C36" s="1022">
        <f t="shared" si="5"/>
        <v>4999230.4800000004</v>
      </c>
      <c r="D36" s="1022">
        <f t="shared" si="5"/>
        <v>2585107.3799999994</v>
      </c>
      <c r="E36" s="1022">
        <f t="shared" si="5"/>
        <v>0</v>
      </c>
      <c r="F36" s="1022">
        <f t="shared" si="5"/>
        <v>0</v>
      </c>
      <c r="H36" s="1022">
        <f t="shared" si="0"/>
        <v>0</v>
      </c>
      <c r="I36" s="1022">
        <f t="shared" si="0"/>
        <v>0</v>
      </c>
      <c r="J36" s="1022">
        <f t="shared" si="0"/>
        <v>0</v>
      </c>
      <c r="K36" s="1022">
        <f t="shared" si="0"/>
        <v>0</v>
      </c>
      <c r="L36" s="1022">
        <f t="shared" si="0"/>
        <v>0</v>
      </c>
      <c r="N36" s="1013" t="s">
        <v>511</v>
      </c>
      <c r="O36" s="1022">
        <v>4578926.6700000009</v>
      </c>
      <c r="P36" s="1022">
        <v>4999230.4800000004</v>
      </c>
      <c r="Q36" s="1022">
        <v>2585107.3799999994</v>
      </c>
      <c r="R36" s="1022">
        <v>0</v>
      </c>
      <c r="S36" s="1022">
        <v>0</v>
      </c>
    </row>
    <row r="37" spans="1:19" ht="5.0999999999999996" customHeight="1" thickTop="1" x14ac:dyDescent="0.2">
      <c r="A37" s="1010"/>
      <c r="B37" s="800"/>
      <c r="C37" s="800"/>
      <c r="D37" s="800"/>
      <c r="E37" s="1020"/>
      <c r="F37" s="1020"/>
      <c r="H37" s="800"/>
      <c r="I37" s="800"/>
      <c r="J37" s="800"/>
      <c r="K37" s="1020"/>
      <c r="L37" s="1020"/>
      <c r="N37" s="1010"/>
      <c r="O37" s="800"/>
      <c r="P37" s="800"/>
      <c r="Q37" s="800"/>
      <c r="R37" s="1020"/>
      <c r="S37" s="1020"/>
    </row>
    <row r="38" spans="1:19" x14ac:dyDescent="0.2">
      <c r="A38" s="1001" t="s">
        <v>501</v>
      </c>
      <c r="B38" s="800"/>
      <c r="C38" s="800"/>
      <c r="D38" s="1018">
        <f t="shared" ref="D38:F43" si="6">+D17*D$27</f>
        <v>4354892.1072000004</v>
      </c>
      <c r="E38" s="1018">
        <f t="shared" si="6"/>
        <v>9648087.3882800918</v>
      </c>
      <c r="F38" s="1018">
        <f t="shared" si="6"/>
        <v>9500284.6496284995</v>
      </c>
      <c r="H38" s="800">
        <f t="shared" si="0"/>
        <v>0</v>
      </c>
      <c r="I38" s="800">
        <f t="shared" si="0"/>
        <v>0</v>
      </c>
      <c r="J38" s="1018">
        <f t="shared" si="0"/>
        <v>156982.96400000062</v>
      </c>
      <c r="K38" s="1018">
        <f t="shared" si="0"/>
        <v>402850.10374409333</v>
      </c>
      <c r="L38" s="1018">
        <f t="shared" si="0"/>
        <v>168993.46701620147</v>
      </c>
      <c r="N38" s="1001" t="s">
        <v>501</v>
      </c>
      <c r="O38" s="800"/>
      <c r="P38" s="800"/>
      <c r="Q38" s="1018">
        <v>4197909.1431999998</v>
      </c>
      <c r="R38" s="1018">
        <v>9245237.2845359985</v>
      </c>
      <c r="S38" s="1018">
        <v>9331291.1826122981</v>
      </c>
    </row>
    <row r="39" spans="1:19" x14ac:dyDescent="0.2">
      <c r="A39" s="1001" t="s">
        <v>502</v>
      </c>
      <c r="B39" s="800"/>
      <c r="C39" s="800"/>
      <c r="D39" s="1020">
        <f t="shared" si="6"/>
        <v>923429.2</v>
      </c>
      <c r="E39" s="1020">
        <f t="shared" si="6"/>
        <v>1994230.5473915027</v>
      </c>
      <c r="F39" s="1020">
        <f t="shared" si="6"/>
        <v>1906485.5993667645</v>
      </c>
      <c r="H39" s="800">
        <f t="shared" si="0"/>
        <v>0</v>
      </c>
      <c r="I39" s="800">
        <f t="shared" si="0"/>
        <v>0</v>
      </c>
      <c r="J39" s="1020">
        <f t="shared" si="0"/>
        <v>0</v>
      </c>
      <c r="K39" s="1020">
        <f t="shared" si="0"/>
        <v>13674.145391502883</v>
      </c>
      <c r="L39" s="1020">
        <f t="shared" si="0"/>
        <v>-92505.656548466068</v>
      </c>
      <c r="N39" s="1001" t="s">
        <v>502</v>
      </c>
      <c r="O39" s="800"/>
      <c r="P39" s="800"/>
      <c r="Q39" s="1020">
        <v>923429.2</v>
      </c>
      <c r="R39" s="1020">
        <v>1980556.4019999998</v>
      </c>
      <c r="S39" s="1020">
        <v>1998991.2559152306</v>
      </c>
    </row>
    <row r="40" spans="1:19" x14ac:dyDescent="0.2">
      <c r="A40" s="1001" t="s">
        <v>503</v>
      </c>
      <c r="B40" s="800"/>
      <c r="C40" s="800"/>
      <c r="D40" s="1020">
        <f t="shared" si="6"/>
        <v>190226.41519999999</v>
      </c>
      <c r="E40" s="1020">
        <f t="shared" si="6"/>
        <v>410811.49276264961</v>
      </c>
      <c r="F40" s="1020">
        <f t="shared" si="6"/>
        <v>392736.03346955351</v>
      </c>
      <c r="H40" s="800">
        <f t="shared" si="0"/>
        <v>0</v>
      </c>
      <c r="I40" s="800">
        <f t="shared" si="0"/>
        <v>0</v>
      </c>
      <c r="J40" s="1020">
        <f t="shared" si="0"/>
        <v>0</v>
      </c>
      <c r="K40" s="1020">
        <f t="shared" si="0"/>
        <v>2816.8739506496931</v>
      </c>
      <c r="L40" s="1020">
        <f t="shared" si="0"/>
        <v>-19056.165248983947</v>
      </c>
      <c r="N40" s="1001" t="s">
        <v>503</v>
      </c>
      <c r="O40" s="800"/>
      <c r="P40" s="800"/>
      <c r="Q40" s="1020">
        <v>190226.41519999999</v>
      </c>
      <c r="R40" s="1020">
        <v>407994.61881199991</v>
      </c>
      <c r="S40" s="1020">
        <v>411792.19871853746</v>
      </c>
    </row>
    <row r="41" spans="1:19" x14ac:dyDescent="0.2">
      <c r="A41" s="1001" t="s">
        <v>504</v>
      </c>
      <c r="B41" s="800"/>
      <c r="C41" s="800"/>
      <c r="D41" s="1020">
        <f t="shared" si="6"/>
        <v>38784.026399999995</v>
      </c>
      <c r="E41" s="1020">
        <f t="shared" si="6"/>
        <v>83757.682990443107</v>
      </c>
      <c r="F41" s="1020">
        <f t="shared" si="6"/>
        <v>80072.395173404118</v>
      </c>
      <c r="H41" s="800">
        <f t="shared" si="0"/>
        <v>0</v>
      </c>
      <c r="I41" s="800">
        <f t="shared" si="0"/>
        <v>0</v>
      </c>
      <c r="J41" s="1020">
        <f t="shared" si="0"/>
        <v>0</v>
      </c>
      <c r="K41" s="1020">
        <f t="shared" si="0"/>
        <v>574.31410644312564</v>
      </c>
      <c r="L41" s="1020">
        <f t="shared" si="0"/>
        <v>-3885.2375750355568</v>
      </c>
      <c r="N41" s="1001" t="s">
        <v>504</v>
      </c>
      <c r="O41" s="800"/>
      <c r="P41" s="800"/>
      <c r="Q41" s="1020">
        <v>38784.026399999995</v>
      </c>
      <c r="R41" s="1020">
        <v>83183.368883999981</v>
      </c>
      <c r="S41" s="1020">
        <v>83957.632748439675</v>
      </c>
    </row>
    <row r="42" spans="1:19" x14ac:dyDescent="0.2">
      <c r="A42" s="1001" t="s">
        <v>505</v>
      </c>
      <c r="B42" s="800"/>
      <c r="C42" s="800"/>
      <c r="D42" s="1020">
        <f t="shared" si="6"/>
        <v>258560.17599999998</v>
      </c>
      <c r="E42" s="1020">
        <f t="shared" si="6"/>
        <v>558384.55326962075</v>
      </c>
      <c r="F42" s="1020">
        <f t="shared" si="6"/>
        <v>533815.9678226941</v>
      </c>
      <c r="H42" s="800">
        <f t="shared" si="0"/>
        <v>0</v>
      </c>
      <c r="I42" s="800">
        <f t="shared" si="0"/>
        <v>0</v>
      </c>
      <c r="J42" s="1020">
        <f t="shared" si="0"/>
        <v>0</v>
      </c>
      <c r="K42" s="1020">
        <f t="shared" si="0"/>
        <v>3828.7607096208958</v>
      </c>
      <c r="L42" s="1020">
        <f t="shared" si="0"/>
        <v>-25901.583833570476</v>
      </c>
      <c r="N42" s="1001" t="s">
        <v>505</v>
      </c>
      <c r="O42" s="800"/>
      <c r="P42" s="800"/>
      <c r="Q42" s="1020">
        <v>258560.17599999998</v>
      </c>
      <c r="R42" s="1020">
        <v>554555.79255999986</v>
      </c>
      <c r="S42" s="1020">
        <v>559717.55165626458</v>
      </c>
    </row>
    <row r="43" spans="1:19" x14ac:dyDescent="0.2">
      <c r="A43" s="1001" t="s">
        <v>506</v>
      </c>
      <c r="B43" s="800"/>
      <c r="C43" s="800"/>
      <c r="D43" s="1020">
        <f t="shared" si="6"/>
        <v>0</v>
      </c>
      <c r="E43" s="1020">
        <f t="shared" si="6"/>
        <v>0</v>
      </c>
      <c r="F43" s="1020">
        <f t="shared" si="6"/>
        <v>0</v>
      </c>
      <c r="H43" s="800">
        <f t="shared" si="0"/>
        <v>0</v>
      </c>
      <c r="I43" s="800">
        <f t="shared" si="0"/>
        <v>0</v>
      </c>
      <c r="J43" s="1020">
        <f t="shared" si="0"/>
        <v>-156982.96400000001</v>
      </c>
      <c r="K43" s="1020">
        <f t="shared" si="0"/>
        <v>-336694.58833999996</v>
      </c>
      <c r="L43" s="1020">
        <f t="shared" si="0"/>
        <v>-339828.51350558916</v>
      </c>
      <c r="N43" s="1001" t="s">
        <v>506</v>
      </c>
      <c r="O43" s="800"/>
      <c r="P43" s="800"/>
      <c r="Q43" s="1020">
        <v>156982.96400000001</v>
      </c>
      <c r="R43" s="1020">
        <v>336694.58833999996</v>
      </c>
      <c r="S43" s="1020">
        <v>339828.51350558916</v>
      </c>
    </row>
    <row r="44" spans="1:19" ht="5.0999999999999996" customHeight="1" x14ac:dyDescent="0.2">
      <c r="A44" s="1010"/>
      <c r="B44" s="1021"/>
      <c r="C44" s="1021"/>
      <c r="D44" s="1021"/>
      <c r="E44" s="1021"/>
      <c r="F44" s="1021"/>
      <c r="H44" s="1021"/>
      <c r="I44" s="1021"/>
      <c r="J44" s="1021"/>
      <c r="K44" s="1021"/>
      <c r="L44" s="1021"/>
      <c r="N44" s="1010"/>
      <c r="O44" s="1021"/>
      <c r="P44" s="1021"/>
      <c r="Q44" s="1021"/>
      <c r="R44" s="1021"/>
      <c r="S44" s="1021"/>
    </row>
    <row r="45" spans="1:19" ht="13.5" thickBot="1" x14ac:dyDescent="0.25">
      <c r="A45" s="979" t="s">
        <v>490</v>
      </c>
      <c r="B45" s="1022">
        <f t="shared" ref="B45:F45" si="7">SUM(B38:B44)</f>
        <v>0</v>
      </c>
      <c r="C45" s="1022">
        <f t="shared" si="7"/>
        <v>0</v>
      </c>
      <c r="D45" s="1022">
        <f t="shared" si="7"/>
        <v>5765891.9248000002</v>
      </c>
      <c r="E45" s="1022">
        <f t="shared" si="7"/>
        <v>12695271.664694307</v>
      </c>
      <c r="F45" s="1022">
        <f t="shared" si="7"/>
        <v>12413394.645460915</v>
      </c>
      <c r="H45" s="1022">
        <f t="shared" si="0"/>
        <v>0</v>
      </c>
      <c r="I45" s="1022">
        <f t="shared" si="0"/>
        <v>0</v>
      </c>
      <c r="J45" s="1022">
        <f t="shared" si="0"/>
        <v>9.3132257461547852E-10</v>
      </c>
      <c r="K45" s="1022">
        <f t="shared" si="0"/>
        <v>87049.609562309459</v>
      </c>
      <c r="L45" s="1022">
        <f t="shared" si="0"/>
        <v>-312183.68969544396</v>
      </c>
      <c r="N45" s="979" t="s">
        <v>490</v>
      </c>
      <c r="O45" s="1022">
        <v>0</v>
      </c>
      <c r="P45" s="1022">
        <v>0</v>
      </c>
      <c r="Q45" s="1022">
        <v>5765891.9247999992</v>
      </c>
      <c r="R45" s="1022">
        <v>12608222.055131998</v>
      </c>
      <c r="S45" s="1022">
        <v>12725578.335156359</v>
      </c>
    </row>
    <row r="46" spans="1:19" ht="3" customHeight="1" thickTop="1" x14ac:dyDescent="0.2">
      <c r="A46" s="1023"/>
      <c r="B46" s="313"/>
      <c r="C46" s="313"/>
      <c r="D46" s="313"/>
      <c r="E46" s="313"/>
      <c r="F46" s="413"/>
      <c r="H46" s="313"/>
      <c r="I46" s="313"/>
      <c r="J46" s="313"/>
      <c r="K46" s="313"/>
      <c r="L46" s="413"/>
      <c r="N46" s="1023"/>
      <c r="O46" s="313"/>
      <c r="P46" s="313"/>
      <c r="Q46" s="313"/>
      <c r="R46" s="313"/>
      <c r="S46" s="413"/>
    </row>
    <row r="47" spans="1:19" ht="18.75" customHeight="1" x14ac:dyDescent="0.2">
      <c r="A47" s="1024" t="s">
        <v>512</v>
      </c>
      <c r="B47" s="1025">
        <f t="shared" ref="B47:F47" si="8">B36+B45</f>
        <v>4578926.6700000009</v>
      </c>
      <c r="C47" s="1025">
        <f t="shared" si="8"/>
        <v>4999230.4800000004</v>
      </c>
      <c r="D47" s="1025">
        <f t="shared" si="8"/>
        <v>8350999.3048</v>
      </c>
      <c r="E47" s="1025">
        <f t="shared" si="8"/>
        <v>12695271.664694307</v>
      </c>
      <c r="F47" s="1025">
        <f t="shared" si="8"/>
        <v>12413394.645460915</v>
      </c>
      <c r="H47" s="1025">
        <f t="shared" si="0"/>
        <v>0</v>
      </c>
      <c r="I47" s="1025">
        <f t="shared" si="0"/>
        <v>0</v>
      </c>
      <c r="J47" s="1025">
        <f t="shared" si="0"/>
        <v>1.862645149230957E-9</v>
      </c>
      <c r="K47" s="1025">
        <f t="shared" si="0"/>
        <v>87049.609562309459</v>
      </c>
      <c r="L47" s="1025">
        <f t="shared" si="0"/>
        <v>-312183.68969544396</v>
      </c>
      <c r="N47" s="1024" t="s">
        <v>512</v>
      </c>
      <c r="O47" s="1025">
        <v>4578926.6700000009</v>
      </c>
      <c r="P47" s="1025">
        <v>4999230.4800000004</v>
      </c>
      <c r="Q47" s="1025">
        <v>8350999.3047999982</v>
      </c>
      <c r="R47" s="1025">
        <v>12608222.055131998</v>
      </c>
      <c r="S47" s="1025">
        <v>12725578.335156359</v>
      </c>
    </row>
    <row r="48" spans="1:19" x14ac:dyDescent="0.2">
      <c r="A48"/>
      <c r="B48"/>
      <c r="C48"/>
      <c r="D48"/>
      <c r="E48"/>
      <c r="F48"/>
      <c r="H48"/>
      <c r="I48"/>
      <c r="J48"/>
      <c r="K48"/>
      <c r="L48"/>
      <c r="N48"/>
      <c r="O48"/>
      <c r="P48"/>
      <c r="Q48"/>
      <c r="R48"/>
      <c r="S48"/>
    </row>
    <row r="49" spans="1:10" hidden="1" outlineLevel="1" x14ac:dyDescent="0.2">
      <c r="A49" s="1026" t="s">
        <v>513</v>
      </c>
      <c r="B49" s="1027">
        <f>+B47+J.3!B18</f>
        <v>5914076.6800000006</v>
      </c>
      <c r="C49" s="1027">
        <f>+C47+J.3!C18</f>
        <v>6224576.2400000002</v>
      </c>
      <c r="D49" s="1027">
        <f>+D36+J.3!D18</f>
        <v>3830327.4199999995</v>
      </c>
      <c r="E49" s="1027">
        <f>+E36+J.3!E18</f>
        <v>1309376</v>
      </c>
      <c r="F49" s="1027">
        <f>+F36+J.3!F18</f>
        <v>1389692.28</v>
      </c>
    </row>
    <row r="50" spans="1:10" hidden="1" outlineLevel="1" x14ac:dyDescent="0.2">
      <c r="E50" s="743"/>
      <c r="F50" s="743"/>
    </row>
    <row r="51" spans="1:10" hidden="1" outlineLevel="1" x14ac:dyDescent="0.2">
      <c r="A51" s="430" t="s">
        <v>130</v>
      </c>
      <c r="B51" s="504">
        <f>SUMIFS(D!C:C,D!$B:$B,$A51)-B49</f>
        <v>0</v>
      </c>
      <c r="C51" s="504">
        <f>SUMIFS(D!D:D,D!$B:$B,$A51)-C49</f>
        <v>0</v>
      </c>
      <c r="D51" s="504">
        <f>SUMIFS(D!E:E,D!$B:$B,$A51)-D49</f>
        <v>0</v>
      </c>
      <c r="E51" s="504">
        <f>SUMIFS(D!F:F,D!$B:$B,$A51)-E49</f>
        <v>0</v>
      </c>
      <c r="F51" s="504">
        <f>SUMIFS(D!G:G,D!$B:$B,$A51)-F49</f>
        <v>0</v>
      </c>
    </row>
    <row r="52" spans="1:10" collapsed="1" x14ac:dyDescent="0.2">
      <c r="A52" s="744" t="s">
        <v>514</v>
      </c>
      <c r="E52" s="1028"/>
      <c r="F52" s="1029">
        <f>+F47-B!B19</f>
        <v>0</v>
      </c>
    </row>
    <row r="53" spans="1:10" ht="12.75" customHeight="1" x14ac:dyDescent="0.2">
      <c r="A53" s="1030" t="s">
        <v>515</v>
      </c>
      <c r="B53" s="744"/>
      <c r="C53" s="744"/>
      <c r="D53" s="1031">
        <v>6.8009999999999993</v>
      </c>
      <c r="E53" s="1032"/>
      <c r="F53" s="744"/>
      <c r="G53" s="744"/>
      <c r="H53" s="744"/>
      <c r="I53" s="744"/>
      <c r="J53" s="744"/>
    </row>
    <row r="54" spans="1:10" x14ac:dyDescent="0.2">
      <c r="A54" s="1033" t="s">
        <v>516</v>
      </c>
      <c r="B54" s="744"/>
      <c r="C54" s="744"/>
      <c r="D54" s="703">
        <v>0.95</v>
      </c>
      <c r="E54" s="744"/>
      <c r="F54" s="744"/>
      <c r="G54" s="744"/>
      <c r="H54" s="744"/>
      <c r="I54" s="744"/>
      <c r="J54" s="744"/>
    </row>
    <row r="55" spans="1:10" ht="15" x14ac:dyDescent="0.2">
      <c r="A55" s="1034" t="s">
        <v>517</v>
      </c>
      <c r="B55" s="1035"/>
      <c r="C55" s="1036"/>
      <c r="D55" s="1037">
        <v>1.79</v>
      </c>
      <c r="E55" s="1038"/>
      <c r="F55" s="1038"/>
      <c r="G55" s="1038"/>
      <c r="H55" s="1038"/>
      <c r="I55" s="1039"/>
      <c r="J55" s="1040"/>
    </row>
    <row r="56" spans="1:10" ht="15" x14ac:dyDescent="0.2">
      <c r="A56" s="1041" t="s">
        <v>518</v>
      </c>
      <c r="B56" s="1038"/>
      <c r="C56" s="1040"/>
      <c r="D56" s="1042">
        <f>SUM(D53:D55)</f>
        <v>9.5410000000000004</v>
      </c>
      <c r="E56" s="1038"/>
      <c r="F56" s="1038"/>
      <c r="G56" s="1038"/>
      <c r="H56" s="1038"/>
      <c r="I56" s="1039"/>
      <c r="J56" s="1040"/>
    </row>
    <row r="57" spans="1:10" ht="15" x14ac:dyDescent="0.2">
      <c r="B57" s="1038"/>
      <c r="C57" s="1040"/>
      <c r="D57" s="1038"/>
      <c r="E57" s="1038"/>
      <c r="F57" s="1038"/>
      <c r="G57" s="1038"/>
      <c r="H57" s="1038"/>
      <c r="I57" s="1039"/>
      <c r="J57" s="1040"/>
    </row>
    <row r="58" spans="1:10" ht="15" x14ac:dyDescent="0.2">
      <c r="A58" s="1043"/>
      <c r="B58" s="1038"/>
      <c r="C58" s="1040"/>
      <c r="D58" s="1038"/>
      <c r="E58" s="1038"/>
      <c r="F58" s="1038"/>
      <c r="G58" s="1038"/>
      <c r="H58" s="1038"/>
      <c r="I58" s="1039"/>
      <c r="J58" s="1040"/>
    </row>
    <row r="59" spans="1:10" ht="15" x14ac:dyDescent="0.2">
      <c r="B59" s="1043"/>
      <c r="C59" s="1043"/>
      <c r="D59" s="1043"/>
      <c r="E59" s="1043"/>
      <c r="F59" s="1043"/>
      <c r="G59" s="1043"/>
      <c r="H59" s="1043"/>
      <c r="I59" s="1044"/>
      <c r="J59" s="1043"/>
    </row>
  </sheetData>
  <mergeCells count="5">
    <mergeCell ref="H4:L5"/>
    <mergeCell ref="N4:S5"/>
    <mergeCell ref="B6:D6"/>
    <mergeCell ref="H6:J6"/>
    <mergeCell ref="O6:Q6"/>
  </mergeCells>
  <pageMargins left="1" right="0.75" top="0.75" bottom="0.5" header="0.5" footer="0.5"/>
  <pageSetup scale="79" orientation="landscape" r:id="rId1"/>
  <headerFooter>
    <oddFooter>&amp;L&amp;KFF0000Final Rate Application&amp;CPage &amp;P of &amp;N&amp;R02/10/2017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U19"/>
  <sheetViews>
    <sheetView showOutlineSymbols="0" zoomScaleNormal="100" zoomScaleSheetLayoutView="85" workbookViewId="0"/>
  </sheetViews>
  <sheetFormatPr defaultRowHeight="12.75" outlineLevelCol="1" x14ac:dyDescent="0.2"/>
  <cols>
    <col min="1" max="1" width="40.42578125" style="12" customWidth="1"/>
    <col min="2" max="5" width="16.7109375" style="12" customWidth="1"/>
    <col min="6" max="6" width="18.28515625" style="12" customWidth="1"/>
    <col min="7" max="7" width="2.85546875" style="12" customWidth="1" outlineLevel="1"/>
    <col min="8" max="8" width="11.85546875" style="12" customWidth="1" outlineLevel="1"/>
    <col min="9" max="10" width="11.85546875" style="12" customWidth="1"/>
    <col min="11" max="11" width="11.42578125" style="12" bestFit="1" customWidth="1"/>
    <col min="12" max="12" width="17.7109375" style="12" bestFit="1" customWidth="1"/>
    <col min="13" max="13" width="2.7109375" style="12" customWidth="1"/>
    <col min="14" max="14" width="31.85546875" style="12" bestFit="1" customWidth="1"/>
    <col min="15" max="17" width="11.28515625" style="12" bestFit="1" customWidth="1"/>
    <col min="18" max="18" width="11.42578125" style="12" bestFit="1" customWidth="1"/>
    <col min="19" max="19" width="17.7109375" style="12" bestFit="1" customWidth="1"/>
    <col min="20" max="20" width="11.28515625" style="12" bestFit="1" customWidth="1"/>
    <col min="21" max="21" width="10.140625" style="12" bestFit="1" customWidth="1"/>
    <col min="22" max="16384" width="9.140625" style="12"/>
  </cols>
  <sheetData>
    <row r="1" spans="1:21" x14ac:dyDescent="0.2">
      <c r="A1" s="112" t="str">
        <f>B!$A$2</f>
        <v>Recology San Francisco</v>
      </c>
    </row>
    <row r="2" spans="1:21" x14ac:dyDescent="0.2">
      <c r="A2" s="300" t="s">
        <v>519</v>
      </c>
    </row>
    <row r="3" spans="1:21" ht="12.75" customHeight="1" x14ac:dyDescent="0.2">
      <c r="A3" s="265" t="s">
        <v>42</v>
      </c>
    </row>
    <row r="4" spans="1:21" ht="12.75" customHeight="1" x14ac:dyDescent="0.2">
      <c r="A4" s="349"/>
      <c r="E4" s="115"/>
      <c r="F4" s="408" t="s">
        <v>97</v>
      </c>
      <c r="G4" s="703"/>
      <c r="H4" s="1522" t="s">
        <v>74</v>
      </c>
      <c r="I4" s="1523"/>
      <c r="J4" s="1523"/>
      <c r="K4" s="1523"/>
      <c r="L4" s="1524"/>
      <c r="M4" s="867"/>
      <c r="N4" s="1497" t="s">
        <v>75</v>
      </c>
      <c r="O4" s="1498"/>
      <c r="P4" s="1498"/>
      <c r="Q4" s="1498"/>
      <c r="R4" s="1498"/>
      <c r="S4" s="1499"/>
    </row>
    <row r="5" spans="1:21" ht="15.75" x14ac:dyDescent="0.2">
      <c r="A5" s="992"/>
      <c r="E5" s="411"/>
      <c r="F5" s="1045">
        <f>+D!$G$5</f>
        <v>0.03</v>
      </c>
      <c r="H5" s="1531"/>
      <c r="I5" s="1527"/>
      <c r="J5" s="1527"/>
      <c r="K5" s="1527"/>
      <c r="L5" s="1528"/>
      <c r="M5" s="867"/>
      <c r="N5" s="1500"/>
      <c r="O5" s="1502"/>
      <c r="P5" s="1502"/>
      <c r="Q5" s="1502"/>
      <c r="R5" s="1502"/>
      <c r="S5" s="1503"/>
    </row>
    <row r="6" spans="1:21" ht="16.5" customHeight="1" x14ac:dyDescent="0.25">
      <c r="A6" s="992"/>
      <c r="B6" s="1588" t="s">
        <v>207</v>
      </c>
      <c r="C6" s="1589"/>
      <c r="D6" s="1590"/>
      <c r="E6" s="1046" t="s">
        <v>208</v>
      </c>
      <c r="F6" s="927" t="s">
        <v>209</v>
      </c>
      <c r="H6" s="1585" t="s">
        <v>207</v>
      </c>
      <c r="I6" s="1586"/>
      <c r="J6" s="1587"/>
      <c r="K6" s="909" t="s">
        <v>208</v>
      </c>
      <c r="L6" s="910" t="s">
        <v>209</v>
      </c>
      <c r="N6" s="1047"/>
      <c r="O6" s="1585" t="s">
        <v>207</v>
      </c>
      <c r="P6" s="1586"/>
      <c r="Q6" s="1587"/>
      <c r="R6" s="909" t="s">
        <v>208</v>
      </c>
      <c r="S6" s="910" t="s">
        <v>209</v>
      </c>
    </row>
    <row r="7" spans="1:21" ht="16.5" customHeight="1" x14ac:dyDescent="0.25">
      <c r="A7" s="1048" t="s">
        <v>520</v>
      </c>
      <c r="B7" s="931" t="s">
        <v>102</v>
      </c>
      <c r="C7" s="931" t="s">
        <v>103</v>
      </c>
      <c r="D7" s="931" t="s">
        <v>104</v>
      </c>
      <c r="E7" s="933" t="s">
        <v>99</v>
      </c>
      <c r="F7" s="934" t="s">
        <v>69</v>
      </c>
      <c r="H7" s="912" t="s">
        <v>102</v>
      </c>
      <c r="I7" s="912" t="s">
        <v>103</v>
      </c>
      <c r="J7" s="912" t="s">
        <v>104</v>
      </c>
      <c r="K7" s="913" t="s">
        <v>99</v>
      </c>
      <c r="L7" s="914" t="s">
        <v>69</v>
      </c>
      <c r="N7" s="1049" t="s">
        <v>520</v>
      </c>
      <c r="O7" s="915" t="s">
        <v>102</v>
      </c>
      <c r="P7" s="912" t="s">
        <v>103</v>
      </c>
      <c r="Q7" s="912" t="s">
        <v>104</v>
      </c>
      <c r="R7" s="913" t="s">
        <v>99</v>
      </c>
      <c r="S7" s="914" t="s">
        <v>69</v>
      </c>
    </row>
    <row r="8" spans="1:21" ht="19.5" customHeight="1" x14ac:dyDescent="0.2">
      <c r="A8" s="1050" t="s">
        <v>521</v>
      </c>
      <c r="B8" s="1051"/>
      <c r="C8" s="1051"/>
      <c r="D8" s="1051"/>
      <c r="E8" s="1051"/>
      <c r="F8" s="1051"/>
      <c r="H8" s="1051"/>
      <c r="I8" s="1051"/>
      <c r="J8" s="1051"/>
      <c r="K8" s="1051"/>
      <c r="L8" s="1051"/>
      <c r="N8" s="1052" t="s">
        <v>521</v>
      </c>
      <c r="O8" s="1051"/>
      <c r="P8" s="1051"/>
      <c r="Q8" s="1051"/>
      <c r="R8" s="1051"/>
      <c r="S8" s="1051"/>
    </row>
    <row r="9" spans="1:21" ht="15" customHeight="1" x14ac:dyDescent="0.2">
      <c r="A9" s="1053" t="s">
        <v>522</v>
      </c>
      <c r="B9" s="1054">
        <v>350293.05000000005</v>
      </c>
      <c r="C9" s="1054">
        <v>360551.97000000003</v>
      </c>
      <c r="D9" s="1054">
        <v>379545.29000000004</v>
      </c>
      <c r="E9" s="69">
        <v>379248</v>
      </c>
      <c r="F9" s="69">
        <f>+E9*(1+$F$5)-79000+33000</f>
        <v>344625.44</v>
      </c>
      <c r="G9" s="744"/>
      <c r="H9" s="1054">
        <f t="shared" ref="H9:L16" si="0">IFERROR(B9-O9,"")</f>
        <v>0</v>
      </c>
      <c r="I9" s="1054">
        <f t="shared" si="0"/>
        <v>0</v>
      </c>
      <c r="J9" s="1054">
        <f t="shared" si="0"/>
        <v>0</v>
      </c>
      <c r="K9" s="69">
        <f t="shared" si="0"/>
        <v>0</v>
      </c>
      <c r="L9" s="69">
        <f t="shared" si="0"/>
        <v>-31000</v>
      </c>
      <c r="N9" s="1053" t="s">
        <v>522</v>
      </c>
      <c r="O9" s="1054">
        <v>350293.05000000005</v>
      </c>
      <c r="P9" s="1054">
        <v>360551.97000000003</v>
      </c>
      <c r="Q9" s="1054">
        <v>379545.29000000004</v>
      </c>
      <c r="R9" s="69">
        <v>379248</v>
      </c>
      <c r="S9" s="69">
        <v>375625.44</v>
      </c>
      <c r="T9" s="703"/>
      <c r="U9" s="745"/>
    </row>
    <row r="10" spans="1:21" ht="15" customHeight="1" x14ac:dyDescent="0.2">
      <c r="A10" s="1055" t="s">
        <v>523</v>
      </c>
      <c r="B10" s="1054">
        <v>50377.909999999996</v>
      </c>
      <c r="C10" s="1054">
        <v>46185.509999999995</v>
      </c>
      <c r="D10" s="1054">
        <v>28035</v>
      </c>
      <c r="E10" s="69">
        <v>28704</v>
      </c>
      <c r="F10" s="69">
        <f>+E10*(1+$F$5)</f>
        <v>29565.119999999999</v>
      </c>
      <c r="H10" s="1054">
        <f t="shared" si="0"/>
        <v>0</v>
      </c>
      <c r="I10" s="1054">
        <f t="shared" si="0"/>
        <v>0</v>
      </c>
      <c r="J10" s="1054">
        <f t="shared" si="0"/>
        <v>0</v>
      </c>
      <c r="K10" s="69">
        <f t="shared" si="0"/>
        <v>0</v>
      </c>
      <c r="L10" s="69">
        <f t="shared" si="0"/>
        <v>0</v>
      </c>
      <c r="N10" s="1055" t="s">
        <v>523</v>
      </c>
      <c r="O10" s="1054">
        <v>50377.909999999996</v>
      </c>
      <c r="P10" s="1054">
        <v>46185.509999999995</v>
      </c>
      <c r="Q10" s="1054">
        <v>28035</v>
      </c>
      <c r="R10" s="69">
        <v>28704</v>
      </c>
      <c r="S10" s="69">
        <v>29565.119999999999</v>
      </c>
      <c r="T10" s="703"/>
      <c r="U10" s="745"/>
    </row>
    <row r="11" spans="1:21" ht="15" customHeight="1" x14ac:dyDescent="0.2">
      <c r="A11" s="1055" t="s">
        <v>524</v>
      </c>
      <c r="B11" s="1054">
        <v>137767.82</v>
      </c>
      <c r="C11" s="1054">
        <v>159022.45999999996</v>
      </c>
      <c r="D11" s="1054">
        <v>122948.89</v>
      </c>
      <c r="E11" s="69">
        <v>126072</v>
      </c>
      <c r="F11" s="69">
        <f>+E11*(1+$F$5)</f>
        <v>129854.16</v>
      </c>
      <c r="H11" s="1054">
        <f t="shared" si="0"/>
        <v>0</v>
      </c>
      <c r="I11" s="1054">
        <f t="shared" si="0"/>
        <v>0</v>
      </c>
      <c r="J11" s="1054">
        <f t="shared" si="0"/>
        <v>0</v>
      </c>
      <c r="K11" s="69">
        <f t="shared" si="0"/>
        <v>0</v>
      </c>
      <c r="L11" s="69">
        <f t="shared" si="0"/>
        <v>0</v>
      </c>
      <c r="N11" s="1055" t="s">
        <v>524</v>
      </c>
      <c r="O11" s="1054">
        <v>137767.82</v>
      </c>
      <c r="P11" s="1054">
        <v>159022.45999999996</v>
      </c>
      <c r="Q11" s="1054">
        <v>122948.89</v>
      </c>
      <c r="R11" s="69">
        <v>126072</v>
      </c>
      <c r="S11" s="69">
        <v>129854.16</v>
      </c>
      <c r="T11" s="703"/>
      <c r="U11" s="745"/>
    </row>
    <row r="12" spans="1:21" ht="15" customHeight="1" x14ac:dyDescent="0.2">
      <c r="A12" s="1055" t="s">
        <v>525</v>
      </c>
      <c r="B12" s="1054">
        <v>65919.91</v>
      </c>
      <c r="C12" s="69">
        <v>9102.85</v>
      </c>
      <c r="D12" s="1054">
        <v>7351.95</v>
      </c>
      <c r="E12" s="69">
        <v>0</v>
      </c>
      <c r="F12" s="69">
        <f>+E12*(1+$F$5)</f>
        <v>0</v>
      </c>
      <c r="H12" s="1054">
        <f t="shared" si="0"/>
        <v>0</v>
      </c>
      <c r="I12" s="69">
        <f t="shared" si="0"/>
        <v>0</v>
      </c>
      <c r="J12" s="1054">
        <f t="shared" si="0"/>
        <v>0</v>
      </c>
      <c r="K12" s="69">
        <f t="shared" si="0"/>
        <v>0</v>
      </c>
      <c r="L12" s="69">
        <f t="shared" si="0"/>
        <v>0</v>
      </c>
      <c r="N12" s="1055" t="s">
        <v>525</v>
      </c>
      <c r="O12" s="1054">
        <v>65919.91</v>
      </c>
      <c r="P12" s="69">
        <v>9102.85</v>
      </c>
      <c r="Q12" s="1054">
        <v>7351.95</v>
      </c>
      <c r="R12" s="69">
        <v>0</v>
      </c>
      <c r="S12" s="69">
        <v>0</v>
      </c>
      <c r="T12" s="701"/>
    </row>
    <row r="13" spans="1:21" ht="15" customHeight="1" x14ac:dyDescent="0.2">
      <c r="A13" s="1055" t="s">
        <v>526</v>
      </c>
      <c r="B13" s="69">
        <v>269580.10000000003</v>
      </c>
      <c r="C13" s="69">
        <v>294721.64999999997</v>
      </c>
      <c r="D13" s="69">
        <v>323575.52</v>
      </c>
      <c r="E13" s="69">
        <v>332100</v>
      </c>
      <c r="F13" s="69">
        <f>+E13*(1+$F$5)</f>
        <v>342063</v>
      </c>
      <c r="H13" s="69">
        <f t="shared" si="0"/>
        <v>0</v>
      </c>
      <c r="I13" s="69">
        <f t="shared" si="0"/>
        <v>0</v>
      </c>
      <c r="J13" s="69">
        <f t="shared" si="0"/>
        <v>0</v>
      </c>
      <c r="K13" s="69">
        <f t="shared" si="0"/>
        <v>0</v>
      </c>
      <c r="L13" s="69">
        <f t="shared" si="0"/>
        <v>0</v>
      </c>
      <c r="N13" s="1055" t="s">
        <v>405</v>
      </c>
      <c r="O13" s="69">
        <v>269580.10000000003</v>
      </c>
      <c r="P13" s="69">
        <v>294721.64999999997</v>
      </c>
      <c r="Q13" s="69">
        <v>323575.52</v>
      </c>
      <c r="R13" s="69">
        <v>332100</v>
      </c>
      <c r="S13" s="69">
        <v>342063</v>
      </c>
      <c r="T13" s="701"/>
    </row>
    <row r="14" spans="1:21" ht="15" customHeight="1" x14ac:dyDescent="0.2">
      <c r="A14" s="327" t="s">
        <v>527</v>
      </c>
      <c r="B14" s="69">
        <v>258272.79000000004</v>
      </c>
      <c r="C14" s="69">
        <v>262168.04000000004</v>
      </c>
      <c r="D14" s="69">
        <v>258973.36999999997</v>
      </c>
      <c r="E14" s="69">
        <v>265476</v>
      </c>
      <c r="F14" s="69">
        <f>+E14*(1+$F$5)</f>
        <v>273440.28000000003</v>
      </c>
      <c r="H14" s="69">
        <f t="shared" si="0"/>
        <v>0</v>
      </c>
      <c r="I14" s="69">
        <f t="shared" si="0"/>
        <v>0</v>
      </c>
      <c r="J14" s="69">
        <f t="shared" si="0"/>
        <v>0</v>
      </c>
      <c r="K14" s="69">
        <f t="shared" si="0"/>
        <v>0</v>
      </c>
      <c r="L14" s="69">
        <f t="shared" si="0"/>
        <v>0</v>
      </c>
      <c r="N14" s="327" t="s">
        <v>527</v>
      </c>
      <c r="O14" s="69">
        <v>258272.79000000004</v>
      </c>
      <c r="P14" s="69">
        <v>262168.04000000004</v>
      </c>
      <c r="Q14" s="69">
        <v>258973.36999999997</v>
      </c>
      <c r="R14" s="69">
        <v>265476</v>
      </c>
      <c r="S14" s="69">
        <v>273440.28000000003</v>
      </c>
      <c r="T14" s="701"/>
    </row>
    <row r="15" spans="1:21" ht="15" customHeight="1" x14ac:dyDescent="0.2">
      <c r="A15" s="1056" t="s">
        <v>528</v>
      </c>
      <c r="B15" s="69">
        <v>88562.950000000012</v>
      </c>
      <c r="C15" s="69">
        <v>0</v>
      </c>
      <c r="D15" s="69">
        <v>917.4</v>
      </c>
      <c r="E15" s="69">
        <f>10*130*65</f>
        <v>84500</v>
      </c>
      <c r="F15" s="69">
        <f>(10*260*65)*(1+$F$5)</f>
        <v>174070</v>
      </c>
      <c r="H15" s="69">
        <f t="shared" si="0"/>
        <v>0</v>
      </c>
      <c r="I15" s="69">
        <f t="shared" si="0"/>
        <v>0</v>
      </c>
      <c r="J15" s="69">
        <f t="shared" si="0"/>
        <v>0</v>
      </c>
      <c r="K15" s="69">
        <f t="shared" si="0"/>
        <v>-84500</v>
      </c>
      <c r="L15" s="69">
        <f t="shared" si="0"/>
        <v>0</v>
      </c>
      <c r="N15" s="1056" t="s">
        <v>528</v>
      </c>
      <c r="O15" s="69">
        <v>88562.950000000012</v>
      </c>
      <c r="P15" s="69">
        <v>0</v>
      </c>
      <c r="Q15" s="69">
        <v>917.4</v>
      </c>
      <c r="R15" s="69">
        <v>169000</v>
      </c>
      <c r="S15" s="69">
        <v>174070</v>
      </c>
      <c r="T15" s="701"/>
    </row>
    <row r="16" spans="1:21" ht="15" customHeight="1" x14ac:dyDescent="0.2">
      <c r="A16" s="327" t="s">
        <v>333</v>
      </c>
      <c r="B16" s="144">
        <v>114375.47999999998</v>
      </c>
      <c r="C16" s="144">
        <v>93593.279999999999</v>
      </c>
      <c r="D16" s="144">
        <v>123872.62000000001</v>
      </c>
      <c r="E16" s="69">
        <v>93276</v>
      </c>
      <c r="F16" s="69">
        <v>96074.28</v>
      </c>
      <c r="H16" s="144">
        <f t="shared" si="0"/>
        <v>0</v>
      </c>
      <c r="I16" s="144">
        <f t="shared" si="0"/>
        <v>0</v>
      </c>
      <c r="J16" s="144">
        <f t="shared" si="0"/>
        <v>0</v>
      </c>
      <c r="K16" s="69">
        <f t="shared" si="0"/>
        <v>0</v>
      </c>
      <c r="L16" s="69">
        <f t="shared" si="0"/>
        <v>0</v>
      </c>
      <c r="N16" s="327" t="s">
        <v>529</v>
      </c>
      <c r="O16" s="144">
        <v>114375.47999999998</v>
      </c>
      <c r="P16" s="144">
        <v>93593.279999999999</v>
      </c>
      <c r="Q16" s="144">
        <v>123872.62000000001</v>
      </c>
      <c r="R16" s="69">
        <v>93276</v>
      </c>
      <c r="S16" s="69">
        <v>96074.28</v>
      </c>
      <c r="T16" s="701"/>
    </row>
    <row r="17" spans="1:20" ht="5.0999999999999996" customHeight="1" x14ac:dyDescent="0.2">
      <c r="A17" s="901"/>
      <c r="B17" s="1057"/>
      <c r="C17" s="1057"/>
      <c r="D17" s="1057"/>
      <c r="E17" s="1057"/>
      <c r="F17" s="1057"/>
      <c r="H17" s="1057"/>
      <c r="I17" s="1057"/>
      <c r="J17" s="1057"/>
      <c r="K17" s="1057"/>
      <c r="L17" s="1057"/>
      <c r="N17" s="1058"/>
      <c r="O17" s="1057"/>
      <c r="P17" s="1057"/>
      <c r="Q17" s="1057"/>
      <c r="R17" s="1057"/>
      <c r="S17" s="1057"/>
    </row>
    <row r="18" spans="1:20" x14ac:dyDescent="0.2">
      <c r="A18" s="1059" t="s">
        <v>530</v>
      </c>
      <c r="B18" s="1060">
        <f t="shared" ref="B18:F18" si="1">SUM(B9:B17)</f>
        <v>1335150.01</v>
      </c>
      <c r="C18" s="1060">
        <f t="shared" si="1"/>
        <v>1225345.76</v>
      </c>
      <c r="D18" s="1060">
        <f t="shared" si="1"/>
        <v>1245220.04</v>
      </c>
      <c r="E18" s="1061">
        <f t="shared" si="1"/>
        <v>1309376</v>
      </c>
      <c r="F18" s="1062">
        <f t="shared" si="1"/>
        <v>1389692.28</v>
      </c>
      <c r="H18" s="1060">
        <f>IFERROR(B18-O18,"")</f>
        <v>0</v>
      </c>
      <c r="I18" s="1060">
        <f>IFERROR(C18-P18,"")</f>
        <v>0</v>
      </c>
      <c r="J18" s="1060">
        <f>IFERROR(D18-Q18,"")</f>
        <v>0</v>
      </c>
      <c r="K18" s="1061">
        <f>IFERROR(E18-R18,"")</f>
        <v>-84500</v>
      </c>
      <c r="L18" s="1062">
        <f>IFERROR(F18-S18,"")</f>
        <v>-31000</v>
      </c>
      <c r="N18" s="315" t="s">
        <v>531</v>
      </c>
      <c r="O18" s="1060">
        <v>1335150.01</v>
      </c>
      <c r="P18" s="1060">
        <v>1225345.76</v>
      </c>
      <c r="Q18" s="1060">
        <v>1245220.04</v>
      </c>
      <c r="R18" s="1061">
        <v>1393876</v>
      </c>
      <c r="S18" s="1062">
        <v>1420692.28</v>
      </c>
      <c r="T18" s="962"/>
    </row>
    <row r="19" spans="1:20" x14ac:dyDescent="0.2">
      <c r="B19" s="28"/>
      <c r="C19" s="28"/>
      <c r="D19" s="28"/>
    </row>
  </sheetData>
  <mergeCells count="5">
    <mergeCell ref="H4:L5"/>
    <mergeCell ref="N4:S5"/>
    <mergeCell ref="B6:D6"/>
    <mergeCell ref="H6:J6"/>
    <mergeCell ref="O6:Q6"/>
  </mergeCells>
  <pageMargins left="1" right="0.75" top="0.75" bottom="0.5" header="0.5" footer="0.5"/>
  <pageSetup scale="95" orientation="landscape" r:id="rId1"/>
  <headerFooter>
    <oddFooter>&amp;L&amp;KFF0000Final Rate Application&amp;CPage &amp;P of &amp;N&amp;R02/10/2017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S24"/>
  <sheetViews>
    <sheetView showOutlineSymbols="0" zoomScaleNormal="100" workbookViewId="0"/>
  </sheetViews>
  <sheetFormatPr defaultRowHeight="12.75" x14ac:dyDescent="0.2"/>
  <cols>
    <col min="1" max="1" width="32" style="1069" bestFit="1" customWidth="1"/>
    <col min="2" max="6" width="18.140625" style="12" customWidth="1"/>
    <col min="7" max="7" width="3.42578125" style="12" customWidth="1"/>
    <col min="8" max="10" width="12.140625" style="12" customWidth="1"/>
    <col min="11" max="11" width="14.140625" style="12" customWidth="1"/>
    <col min="12" max="12" width="17.7109375" style="12" bestFit="1" customWidth="1"/>
    <col min="13" max="13" width="2.85546875" style="12" customWidth="1"/>
    <col min="14" max="14" width="32" style="12" bestFit="1" customWidth="1"/>
    <col min="15" max="17" width="11.5703125" style="12" customWidth="1"/>
    <col min="18" max="18" width="11.42578125" style="12" bestFit="1" customWidth="1"/>
    <col min="19" max="19" width="17.7109375" style="12" bestFit="1" customWidth="1"/>
    <col min="20" max="16384" width="9.140625" style="12"/>
  </cols>
  <sheetData>
    <row r="1" spans="1:19" x14ac:dyDescent="0.2">
      <c r="A1" s="1064" t="str">
        <f>B!$A$2</f>
        <v>Recology San Francisco</v>
      </c>
    </row>
    <row r="2" spans="1:19" x14ac:dyDescent="0.2">
      <c r="A2" s="1065" t="s">
        <v>533</v>
      </c>
    </row>
    <row r="3" spans="1:19" x14ac:dyDescent="0.2">
      <c r="A3" s="1066" t="s">
        <v>44</v>
      </c>
      <c r="B3" s="28"/>
      <c r="C3" s="1067"/>
      <c r="D3" s="28"/>
      <c r="E3" s="28"/>
    </row>
    <row r="4" spans="1:19" ht="12.75" customHeight="1" x14ac:dyDescent="0.2">
      <c r="A4" s="1066"/>
      <c r="H4" s="1522" t="s">
        <v>74</v>
      </c>
      <c r="I4" s="1523"/>
      <c r="J4" s="1523"/>
      <c r="K4" s="1523"/>
      <c r="L4" s="1524"/>
      <c r="M4" s="867"/>
      <c r="N4" s="1497" t="s">
        <v>75</v>
      </c>
      <c r="O4" s="1498"/>
      <c r="P4" s="1498"/>
      <c r="Q4" s="1498"/>
      <c r="R4" s="1498"/>
      <c r="S4" s="1499"/>
    </row>
    <row r="5" spans="1:19" ht="13.5" customHeight="1" x14ac:dyDescent="0.2">
      <c r="A5" s="1068"/>
      <c r="H5" s="1594"/>
      <c r="I5" s="1527"/>
      <c r="J5" s="1527"/>
      <c r="K5" s="1527"/>
      <c r="L5" s="1528"/>
      <c r="M5" s="867"/>
      <c r="N5" s="1595"/>
      <c r="O5" s="1502"/>
      <c r="P5" s="1502"/>
      <c r="Q5" s="1502"/>
      <c r="R5" s="1502"/>
      <c r="S5" s="1503"/>
    </row>
    <row r="6" spans="1:19" ht="16.5" customHeight="1" x14ac:dyDescent="0.25">
      <c r="B6" s="1588" t="s">
        <v>207</v>
      </c>
      <c r="C6" s="1589"/>
      <c r="D6" s="1590"/>
      <c r="E6" s="1046" t="s">
        <v>208</v>
      </c>
      <c r="F6" s="927" t="s">
        <v>209</v>
      </c>
      <c r="H6" s="1585" t="s">
        <v>207</v>
      </c>
      <c r="I6" s="1586"/>
      <c r="J6" s="1587"/>
      <c r="K6" s="909" t="s">
        <v>208</v>
      </c>
      <c r="L6" s="910" t="s">
        <v>209</v>
      </c>
      <c r="N6" s="1070"/>
      <c r="O6" s="1586" t="s">
        <v>207</v>
      </c>
      <c r="P6" s="1586"/>
      <c r="Q6" s="1587"/>
      <c r="R6" s="909" t="s">
        <v>208</v>
      </c>
      <c r="S6" s="910" t="s">
        <v>209</v>
      </c>
    </row>
    <row r="7" spans="1:19" ht="16.5" customHeight="1" x14ac:dyDescent="0.25">
      <c r="A7" s="1071" t="s">
        <v>534</v>
      </c>
      <c r="B7" s="931" t="s">
        <v>102</v>
      </c>
      <c r="C7" s="931" t="s">
        <v>103</v>
      </c>
      <c r="D7" s="931" t="s">
        <v>104</v>
      </c>
      <c r="E7" s="933" t="s">
        <v>99</v>
      </c>
      <c r="F7" s="934" t="s">
        <v>69</v>
      </c>
      <c r="H7" s="912" t="s">
        <v>102</v>
      </c>
      <c r="I7" s="912" t="s">
        <v>103</v>
      </c>
      <c r="J7" s="912" t="s">
        <v>104</v>
      </c>
      <c r="K7" s="913" t="s">
        <v>99</v>
      </c>
      <c r="L7" s="914" t="s">
        <v>69</v>
      </c>
      <c r="N7" s="1072" t="s">
        <v>534</v>
      </c>
      <c r="O7" s="915" t="s">
        <v>102</v>
      </c>
      <c r="P7" s="912" t="s">
        <v>103</v>
      </c>
      <c r="Q7" s="912" t="s">
        <v>104</v>
      </c>
      <c r="R7" s="913" t="s">
        <v>99</v>
      </c>
      <c r="S7" s="914" t="s">
        <v>69</v>
      </c>
    </row>
    <row r="8" spans="1:19" ht="15" customHeight="1" x14ac:dyDescent="0.2">
      <c r="A8" s="1073" t="s">
        <v>271</v>
      </c>
      <c r="B8" s="1074">
        <v>22376.151999999998</v>
      </c>
      <c r="C8" s="1074">
        <v>22637.18</v>
      </c>
      <c r="D8" s="1074">
        <v>22628.370000000003</v>
      </c>
      <c r="E8" s="1074">
        <f>+F.3!E21</f>
        <v>22700</v>
      </c>
      <c r="F8" s="1074">
        <f>+F.3!F21</f>
        <v>23000</v>
      </c>
      <c r="H8" s="1074">
        <f>IFERROR(B8-O8,"")</f>
        <v>0</v>
      </c>
      <c r="I8" s="1074">
        <f>IFERROR(C8-P8,"")</f>
        <v>0</v>
      </c>
      <c r="J8" s="1074">
        <f>IFERROR(D8-Q8,"")</f>
        <v>0</v>
      </c>
      <c r="K8" s="1074">
        <f>IFERROR(E8-R8,"")</f>
        <v>0</v>
      </c>
      <c r="L8" s="1074">
        <f>IFERROR(F8-S8,"")</f>
        <v>0</v>
      </c>
      <c r="N8" s="1075" t="s">
        <v>271</v>
      </c>
      <c r="O8" s="1074">
        <v>22376.151999999998</v>
      </c>
      <c r="P8" s="1074">
        <v>22637.18</v>
      </c>
      <c r="Q8" s="1074">
        <v>22628.370000000003</v>
      </c>
      <c r="R8" s="1074">
        <v>22700</v>
      </c>
      <c r="S8" s="1074">
        <v>23000</v>
      </c>
    </row>
    <row r="9" spans="1:19" ht="15" customHeight="1" x14ac:dyDescent="0.2">
      <c r="A9" s="1076" t="s">
        <v>535</v>
      </c>
      <c r="B9" s="341">
        <v>1123.721</v>
      </c>
      <c r="C9" s="341">
        <v>996.54</v>
      </c>
      <c r="D9" s="341">
        <v>1347.2800000000002</v>
      </c>
      <c r="E9" s="341">
        <f>+F.3!E22</f>
        <v>1400</v>
      </c>
      <c r="F9" s="341">
        <f>+F.3!F22</f>
        <v>1450</v>
      </c>
      <c r="H9" s="341">
        <f t="shared" ref="H9:L24" si="0">IFERROR(B9-O9,"")</f>
        <v>0</v>
      </c>
      <c r="I9" s="341">
        <f t="shared" si="0"/>
        <v>0</v>
      </c>
      <c r="J9" s="341">
        <f t="shared" si="0"/>
        <v>0</v>
      </c>
      <c r="K9" s="341">
        <f t="shared" si="0"/>
        <v>0</v>
      </c>
      <c r="L9" s="341">
        <f t="shared" si="0"/>
        <v>0</v>
      </c>
      <c r="N9" s="1076" t="s">
        <v>536</v>
      </c>
      <c r="O9" s="341">
        <v>1123.721</v>
      </c>
      <c r="P9" s="341">
        <v>996.54</v>
      </c>
      <c r="Q9" s="341">
        <v>1347.2800000000002</v>
      </c>
      <c r="R9" s="341">
        <v>1400</v>
      </c>
      <c r="S9" s="341">
        <v>1450</v>
      </c>
    </row>
    <row r="10" spans="1:19" ht="15" customHeight="1" x14ac:dyDescent="0.2">
      <c r="A10" s="1077" t="s">
        <v>537</v>
      </c>
      <c r="B10" s="144">
        <v>0</v>
      </c>
      <c r="C10" s="144">
        <v>3859.04</v>
      </c>
      <c r="D10" s="144">
        <v>5557.55</v>
      </c>
      <c r="E10" s="144">
        <v>339.79</v>
      </c>
      <c r="F10" s="144">
        <v>0</v>
      </c>
      <c r="H10" s="144">
        <f t="shared" si="0"/>
        <v>0</v>
      </c>
      <c r="I10" s="144">
        <f t="shared" si="0"/>
        <v>0</v>
      </c>
      <c r="J10" s="144">
        <f t="shared" si="0"/>
        <v>0</v>
      </c>
      <c r="K10" s="144">
        <f t="shared" si="0"/>
        <v>0</v>
      </c>
      <c r="L10" s="144">
        <f t="shared" si="0"/>
        <v>0</v>
      </c>
      <c r="N10" s="1077" t="s">
        <v>537</v>
      </c>
      <c r="O10" s="144">
        <v>0</v>
      </c>
      <c r="P10" s="144">
        <v>3859.04</v>
      </c>
      <c r="Q10" s="144">
        <v>5557.55</v>
      </c>
      <c r="R10" s="144">
        <v>339.79</v>
      </c>
      <c r="S10" s="144">
        <v>0</v>
      </c>
    </row>
    <row r="11" spans="1:19" ht="5.0999999999999996" customHeight="1" x14ac:dyDescent="0.2">
      <c r="A11" s="1078"/>
      <c r="B11" s="313"/>
      <c r="C11" s="313"/>
      <c r="D11" s="313"/>
      <c r="E11" s="313"/>
      <c r="F11" s="313"/>
      <c r="H11" s="313">
        <f t="shared" si="0"/>
        <v>0</v>
      </c>
      <c r="I11" s="313">
        <f t="shared" si="0"/>
        <v>0</v>
      </c>
      <c r="J11" s="313">
        <f t="shared" si="0"/>
        <v>0</v>
      </c>
      <c r="K11" s="313">
        <f t="shared" si="0"/>
        <v>0</v>
      </c>
      <c r="L11" s="313">
        <f t="shared" si="0"/>
        <v>0</v>
      </c>
      <c r="N11" s="1078"/>
      <c r="O11" s="1079"/>
      <c r="P11" s="1079"/>
      <c r="Q11" s="1079"/>
      <c r="R11" s="1079"/>
      <c r="S11" s="1079"/>
    </row>
    <row r="12" spans="1:19" x14ac:dyDescent="0.2">
      <c r="A12" s="1080" t="s">
        <v>538</v>
      </c>
      <c r="B12" s="427">
        <f t="shared" ref="B12:F12" si="1">SUM(B8:B11)</f>
        <v>23499.873</v>
      </c>
      <c r="C12" s="427">
        <f t="shared" si="1"/>
        <v>27492.760000000002</v>
      </c>
      <c r="D12" s="427">
        <f t="shared" si="1"/>
        <v>29533.200000000001</v>
      </c>
      <c r="E12" s="427">
        <f t="shared" si="1"/>
        <v>24439.79</v>
      </c>
      <c r="F12" s="427">
        <f t="shared" si="1"/>
        <v>24450</v>
      </c>
      <c r="H12" s="427">
        <f t="shared" si="0"/>
        <v>0</v>
      </c>
      <c r="I12" s="427">
        <f t="shared" si="0"/>
        <v>0</v>
      </c>
      <c r="J12" s="427">
        <f t="shared" si="0"/>
        <v>0</v>
      </c>
      <c r="K12" s="427">
        <f t="shared" si="0"/>
        <v>0</v>
      </c>
      <c r="L12" s="427">
        <f t="shared" si="0"/>
        <v>0</v>
      </c>
      <c r="N12" s="1080" t="s">
        <v>538</v>
      </c>
      <c r="O12" s="427">
        <v>23499.873</v>
      </c>
      <c r="P12" s="427">
        <v>27492.760000000002</v>
      </c>
      <c r="Q12" s="427">
        <v>29533.200000000001</v>
      </c>
      <c r="R12" s="427">
        <v>24439.79</v>
      </c>
      <c r="S12" s="427">
        <v>24450</v>
      </c>
    </row>
    <row r="13" spans="1:19" x14ac:dyDescent="0.2">
      <c r="A13" s="1081"/>
      <c r="B13" s="341"/>
      <c r="C13" s="341"/>
      <c r="D13" s="341"/>
      <c r="E13" s="341"/>
      <c r="F13" s="341"/>
      <c r="H13" s="341"/>
      <c r="I13" s="341"/>
      <c r="J13" s="341"/>
      <c r="K13" s="341"/>
      <c r="L13" s="341"/>
      <c r="N13" s="1081"/>
      <c r="O13" s="341"/>
      <c r="P13" s="341"/>
      <c r="Q13" s="341"/>
      <c r="R13" s="341"/>
      <c r="S13" s="341"/>
    </row>
    <row r="14" spans="1:19" ht="19.5" customHeight="1" x14ac:dyDescent="0.2">
      <c r="A14" s="1071" t="s">
        <v>539</v>
      </c>
      <c r="B14" s="1082"/>
      <c r="C14" s="1082"/>
      <c r="D14" s="1082"/>
      <c r="E14" s="1082"/>
      <c r="F14" s="1082"/>
      <c r="H14" s="1082"/>
      <c r="I14" s="1082"/>
      <c r="J14" s="1082"/>
      <c r="K14" s="1082"/>
      <c r="L14" s="1082"/>
      <c r="N14" s="1071" t="s">
        <v>539</v>
      </c>
      <c r="O14" s="1082"/>
      <c r="P14" s="1082"/>
      <c r="Q14" s="1082"/>
      <c r="R14" s="1082"/>
      <c r="S14" s="1082"/>
    </row>
    <row r="15" spans="1:19" ht="15" customHeight="1" x14ac:dyDescent="0.2">
      <c r="A15" s="1075" t="s">
        <v>271</v>
      </c>
      <c r="B15" s="91">
        <v>22</v>
      </c>
      <c r="C15" s="91">
        <v>31.56</v>
      </c>
      <c r="D15" s="91">
        <v>35</v>
      </c>
      <c r="E15" s="1083">
        <v>35.799999999999997</v>
      </c>
      <c r="F15" s="1083">
        <f>+E15</f>
        <v>35.799999999999997</v>
      </c>
      <c r="H15" s="91">
        <f t="shared" si="0"/>
        <v>0</v>
      </c>
      <c r="I15" s="91">
        <f t="shared" si="0"/>
        <v>0</v>
      </c>
      <c r="J15" s="91">
        <f t="shared" si="0"/>
        <v>0</v>
      </c>
      <c r="K15" s="1083">
        <f t="shared" si="0"/>
        <v>0</v>
      </c>
      <c r="L15" s="1083">
        <f t="shared" si="0"/>
        <v>0</v>
      </c>
      <c r="N15" s="1075" t="s">
        <v>271</v>
      </c>
      <c r="O15" s="91">
        <v>22</v>
      </c>
      <c r="P15" s="91">
        <v>31.56</v>
      </c>
      <c r="Q15" s="91">
        <v>35</v>
      </c>
      <c r="R15" s="1083">
        <v>35.799999999999997</v>
      </c>
      <c r="S15" s="1083">
        <v>35.799999999999997</v>
      </c>
    </row>
    <row r="16" spans="1:19" ht="15" customHeight="1" x14ac:dyDescent="0.2">
      <c r="A16" s="1076" t="s">
        <v>535</v>
      </c>
      <c r="B16" s="1085">
        <v>37</v>
      </c>
      <c r="C16" s="1085">
        <v>37</v>
      </c>
      <c r="D16" s="1085">
        <v>37</v>
      </c>
      <c r="E16" s="1084">
        <v>37</v>
      </c>
      <c r="F16" s="1084">
        <v>37</v>
      </c>
      <c r="H16" s="1085">
        <f t="shared" si="0"/>
        <v>0</v>
      </c>
      <c r="I16" s="1085">
        <f t="shared" si="0"/>
        <v>0</v>
      </c>
      <c r="J16" s="1085">
        <f t="shared" si="0"/>
        <v>0</v>
      </c>
      <c r="K16" s="1084">
        <f t="shared" si="0"/>
        <v>0</v>
      </c>
      <c r="L16" s="1084">
        <f t="shared" si="0"/>
        <v>0</v>
      </c>
      <c r="N16" s="1076" t="s">
        <v>536</v>
      </c>
      <c r="O16" s="1085">
        <v>37</v>
      </c>
      <c r="P16" s="1085">
        <v>37</v>
      </c>
      <c r="Q16" s="1085">
        <v>37</v>
      </c>
      <c r="R16" s="1084">
        <v>37</v>
      </c>
      <c r="S16" s="1084">
        <v>37</v>
      </c>
    </row>
    <row r="17" spans="1:19" ht="15" customHeight="1" x14ac:dyDescent="0.2">
      <c r="A17" s="1077" t="s">
        <v>537</v>
      </c>
      <c r="B17" s="1085">
        <v>0</v>
      </c>
      <c r="C17" s="1085">
        <v>44</v>
      </c>
      <c r="D17" s="1085">
        <v>120.72099396316726</v>
      </c>
      <c r="E17" s="1085">
        <v>44</v>
      </c>
      <c r="F17" s="1085">
        <v>0</v>
      </c>
      <c r="H17" s="1085">
        <f t="shared" si="0"/>
        <v>0</v>
      </c>
      <c r="I17" s="1085">
        <f t="shared" si="0"/>
        <v>0</v>
      </c>
      <c r="J17" s="1085">
        <f t="shared" si="0"/>
        <v>0</v>
      </c>
      <c r="K17" s="1085">
        <f t="shared" si="0"/>
        <v>0</v>
      </c>
      <c r="L17" s="1085">
        <f t="shared" si="0"/>
        <v>0</v>
      </c>
      <c r="N17" s="1077" t="s">
        <v>537</v>
      </c>
      <c r="O17" s="1085">
        <v>0</v>
      </c>
      <c r="P17" s="1085">
        <v>44</v>
      </c>
      <c r="Q17" s="1085">
        <v>120.72099396316726</v>
      </c>
      <c r="R17" s="1085">
        <v>44</v>
      </c>
      <c r="S17" s="1085">
        <v>0</v>
      </c>
    </row>
    <row r="18" spans="1:19" ht="16.5" customHeight="1" x14ac:dyDescent="0.2">
      <c r="A18" s="1086" t="s">
        <v>284</v>
      </c>
      <c r="B18" s="1087"/>
      <c r="C18" s="1087"/>
      <c r="D18" s="1087"/>
      <c r="E18" s="1087"/>
      <c r="F18" s="1087"/>
      <c r="H18" s="1087"/>
      <c r="I18" s="1087"/>
      <c r="J18" s="1087"/>
      <c r="K18" s="1087"/>
      <c r="L18" s="1087"/>
      <c r="N18" s="1086" t="s">
        <v>284</v>
      </c>
      <c r="O18" s="1087"/>
      <c r="P18" s="1087"/>
      <c r="Q18" s="1087"/>
      <c r="R18" s="1087"/>
      <c r="S18" s="1087"/>
    </row>
    <row r="19" spans="1:19" ht="15" customHeight="1" x14ac:dyDescent="0.2">
      <c r="A19" s="1075" t="s">
        <v>271</v>
      </c>
      <c r="B19" s="97">
        <f t="shared" ref="B19:F20" si="2">+B8*B15</f>
        <v>492275.34399999998</v>
      </c>
      <c r="C19" s="97">
        <f t="shared" si="2"/>
        <v>714429.40079999994</v>
      </c>
      <c r="D19" s="97">
        <f t="shared" si="2"/>
        <v>791992.95000000007</v>
      </c>
      <c r="E19" s="97">
        <f t="shared" si="2"/>
        <v>812659.99999999988</v>
      </c>
      <c r="F19" s="97">
        <f t="shared" si="2"/>
        <v>823399.99999999988</v>
      </c>
      <c r="H19" s="97">
        <f t="shared" si="0"/>
        <v>0</v>
      </c>
      <c r="I19" s="97">
        <f t="shared" si="0"/>
        <v>0</v>
      </c>
      <c r="J19" s="97">
        <f t="shared" si="0"/>
        <v>0</v>
      </c>
      <c r="K19" s="97">
        <f t="shared" si="0"/>
        <v>0</v>
      </c>
      <c r="L19" s="97">
        <f t="shared" si="0"/>
        <v>0</v>
      </c>
      <c r="N19" s="1075" t="s">
        <v>271</v>
      </c>
      <c r="O19" s="97">
        <v>492275.34399999998</v>
      </c>
      <c r="P19" s="97">
        <v>714429.40079999994</v>
      </c>
      <c r="Q19" s="97">
        <v>791992.95000000007</v>
      </c>
      <c r="R19" s="97">
        <v>812659.99999999988</v>
      </c>
      <c r="S19" s="97">
        <v>823399.99999999988</v>
      </c>
    </row>
    <row r="20" spans="1:19" ht="15" customHeight="1" x14ac:dyDescent="0.2">
      <c r="A20" s="1076" t="s">
        <v>535</v>
      </c>
      <c r="B20" s="144">
        <f t="shared" si="2"/>
        <v>41577.677000000003</v>
      </c>
      <c r="C20" s="144">
        <f t="shared" si="2"/>
        <v>36871.979999999996</v>
      </c>
      <c r="D20" s="144">
        <f t="shared" si="2"/>
        <v>49849.360000000008</v>
      </c>
      <c r="E20" s="144">
        <f t="shared" si="2"/>
        <v>51800</v>
      </c>
      <c r="F20" s="144">
        <f t="shared" si="2"/>
        <v>53650</v>
      </c>
      <c r="H20" s="144">
        <f t="shared" si="0"/>
        <v>0</v>
      </c>
      <c r="I20" s="144">
        <f t="shared" si="0"/>
        <v>0</v>
      </c>
      <c r="J20" s="144">
        <f t="shared" si="0"/>
        <v>0</v>
      </c>
      <c r="K20" s="144">
        <f t="shared" si="0"/>
        <v>0</v>
      </c>
      <c r="L20" s="144">
        <f t="shared" si="0"/>
        <v>0</v>
      </c>
      <c r="N20" s="1076" t="s">
        <v>536</v>
      </c>
      <c r="O20" s="144">
        <v>41577.677000000003</v>
      </c>
      <c r="P20" s="144">
        <v>36871.979999999996</v>
      </c>
      <c r="Q20" s="144">
        <v>49849.360000000008</v>
      </c>
      <c r="R20" s="144">
        <v>51800</v>
      </c>
      <c r="S20" s="144">
        <v>53650</v>
      </c>
    </row>
    <row r="21" spans="1:19" ht="15" customHeight="1" x14ac:dyDescent="0.2">
      <c r="A21" s="1077" t="s">
        <v>537</v>
      </c>
      <c r="B21" s="144">
        <v>0</v>
      </c>
      <c r="C21" s="144">
        <f>+C10*C17</f>
        <v>169797.76000000001</v>
      </c>
      <c r="D21" s="144">
        <f>+D10*D17</f>
        <v>670912.9600000002</v>
      </c>
      <c r="E21" s="144">
        <v>16810.73</v>
      </c>
      <c r="F21" s="144">
        <f>+F10*F17</f>
        <v>0</v>
      </c>
      <c r="H21" s="144">
        <f t="shared" si="0"/>
        <v>0</v>
      </c>
      <c r="I21" s="144">
        <f t="shared" si="0"/>
        <v>0</v>
      </c>
      <c r="J21" s="144">
        <f t="shared" si="0"/>
        <v>0</v>
      </c>
      <c r="K21" s="144">
        <f t="shared" si="0"/>
        <v>0</v>
      </c>
      <c r="L21" s="144">
        <f t="shared" si="0"/>
        <v>0</v>
      </c>
      <c r="N21" s="1077" t="s">
        <v>537</v>
      </c>
      <c r="O21" s="144">
        <v>0</v>
      </c>
      <c r="P21" s="144">
        <v>169797.76000000001</v>
      </c>
      <c r="Q21" s="144">
        <v>670912.9600000002</v>
      </c>
      <c r="R21" s="144">
        <v>16810.73</v>
      </c>
      <c r="S21" s="144">
        <v>0</v>
      </c>
    </row>
    <row r="22" spans="1:19" ht="15" customHeight="1" x14ac:dyDescent="0.2">
      <c r="A22" s="1077" t="s">
        <v>540</v>
      </c>
      <c r="B22" s="144">
        <v>-12868.021000000001</v>
      </c>
      <c r="C22" s="144">
        <v>15397.519199999999</v>
      </c>
      <c r="D22" s="144">
        <v>0</v>
      </c>
      <c r="E22" s="144">
        <v>0</v>
      </c>
      <c r="F22" s="144">
        <v>0</v>
      </c>
      <c r="H22" s="144">
        <f t="shared" si="0"/>
        <v>0</v>
      </c>
      <c r="I22" s="144">
        <f t="shared" si="0"/>
        <v>0</v>
      </c>
      <c r="J22" s="144">
        <f t="shared" si="0"/>
        <v>0</v>
      </c>
      <c r="K22" s="144">
        <f t="shared" si="0"/>
        <v>0</v>
      </c>
      <c r="L22" s="144">
        <f t="shared" si="0"/>
        <v>0</v>
      </c>
      <c r="N22" s="1077" t="s">
        <v>540</v>
      </c>
      <c r="O22" s="144">
        <v>-12868.021000000001</v>
      </c>
      <c r="P22" s="144">
        <v>15397.519199999999</v>
      </c>
      <c r="Q22" s="144">
        <v>0</v>
      </c>
      <c r="R22" s="144">
        <v>0</v>
      </c>
      <c r="S22" s="144">
        <v>0</v>
      </c>
    </row>
    <row r="23" spans="1:19" ht="5.0999999999999996" customHeight="1" x14ac:dyDescent="0.2">
      <c r="A23" s="1088"/>
      <c r="B23" s="1088"/>
      <c r="C23" s="1088"/>
      <c r="D23" s="1088"/>
      <c r="E23" s="1088"/>
      <c r="F23" s="1088"/>
      <c r="H23" s="1088"/>
      <c r="I23" s="1088"/>
      <c r="J23" s="1088"/>
      <c r="K23" s="1088"/>
      <c r="L23" s="1088"/>
      <c r="N23" s="1088"/>
      <c r="O23" s="1088"/>
      <c r="P23" s="1088"/>
      <c r="Q23" s="1088"/>
      <c r="R23" s="1088"/>
      <c r="S23" s="1088"/>
    </row>
    <row r="24" spans="1:19" ht="15.75" customHeight="1" x14ac:dyDescent="0.2">
      <c r="A24" s="1080" t="s">
        <v>541</v>
      </c>
      <c r="B24" s="1089">
        <f t="shared" ref="B24:F24" si="3">SUM(B19:B23)</f>
        <v>520984.99999999994</v>
      </c>
      <c r="C24" s="1089">
        <f t="shared" si="3"/>
        <v>936496.65999999992</v>
      </c>
      <c r="D24" s="1089">
        <f t="shared" si="3"/>
        <v>1512755.2700000003</v>
      </c>
      <c r="E24" s="1089">
        <f t="shared" si="3"/>
        <v>881270.72999999986</v>
      </c>
      <c r="F24" s="1089">
        <f t="shared" si="3"/>
        <v>877049.99999999988</v>
      </c>
      <c r="H24" s="1089">
        <f t="shared" si="0"/>
        <v>0</v>
      </c>
      <c r="I24" s="1089">
        <f t="shared" si="0"/>
        <v>0</v>
      </c>
      <c r="J24" s="1089">
        <f t="shared" si="0"/>
        <v>0</v>
      </c>
      <c r="K24" s="1089">
        <f t="shared" si="0"/>
        <v>0</v>
      </c>
      <c r="L24" s="1089">
        <f t="shared" si="0"/>
        <v>0</v>
      </c>
      <c r="N24" s="1089" t="s">
        <v>541</v>
      </c>
      <c r="O24" s="1089">
        <v>520984.99999999994</v>
      </c>
      <c r="P24" s="1089">
        <v>936496.65999999992</v>
      </c>
      <c r="Q24" s="1089">
        <v>1512755.2700000003</v>
      </c>
      <c r="R24" s="1089">
        <v>881270.72999999986</v>
      </c>
      <c r="S24" s="1089">
        <v>877049.99999999988</v>
      </c>
    </row>
  </sheetData>
  <mergeCells count="5">
    <mergeCell ref="H4:L5"/>
    <mergeCell ref="N4:S5"/>
    <mergeCell ref="B6:D6"/>
    <mergeCell ref="H6:J6"/>
    <mergeCell ref="O6:Q6"/>
  </mergeCells>
  <pageMargins left="1" right="0.75" top="0.75" bottom="0.5" header="0.5" footer="0.5"/>
  <pageSetup scale="93" orientation="landscape" r:id="rId1"/>
  <headerFooter>
    <oddFooter>&amp;L&amp;KFF0000Final Rate Application&amp;CPage &amp;P of &amp;N&amp;R02/10/2017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52"/>
  <sheetViews>
    <sheetView zoomScaleNormal="100" workbookViewId="0"/>
  </sheetViews>
  <sheetFormatPr defaultRowHeight="12.75" x14ac:dyDescent="0.2"/>
  <cols>
    <col min="1" max="1" width="44.28515625" style="1069" customWidth="1"/>
    <col min="2" max="6" width="18.5703125" style="12" customWidth="1"/>
    <col min="7" max="7" width="2.28515625" style="12" customWidth="1"/>
    <col min="8" max="10" width="15.85546875" style="12" customWidth="1"/>
    <col min="11" max="11" width="16.85546875" style="12" customWidth="1"/>
    <col min="12" max="12" width="17.7109375" style="12" bestFit="1" customWidth="1"/>
    <col min="13" max="13" width="2.140625" style="12" customWidth="1"/>
    <col min="14" max="14" width="36.7109375" style="12" bestFit="1" customWidth="1"/>
    <col min="15" max="17" width="15" style="12" customWidth="1"/>
    <col min="18" max="18" width="15.28515625" style="12" customWidth="1"/>
    <col min="19" max="19" width="17.7109375" style="12" bestFit="1" customWidth="1"/>
    <col min="20" max="16384" width="9.140625" style="12"/>
  </cols>
  <sheetData>
    <row r="1" spans="1:19" x14ac:dyDescent="0.2">
      <c r="A1" s="1064" t="str">
        <f>B!$A$2</f>
        <v>Recology San Francisco</v>
      </c>
    </row>
    <row r="2" spans="1:19" x14ac:dyDescent="0.2">
      <c r="A2" s="1091" t="s">
        <v>542</v>
      </c>
    </row>
    <row r="3" spans="1:19" x14ac:dyDescent="0.2">
      <c r="A3" s="1092" t="s">
        <v>46</v>
      </c>
    </row>
    <row r="4" spans="1:19" ht="12.75" customHeight="1" x14ac:dyDescent="0.2">
      <c r="A4" s="1092"/>
      <c r="H4" s="1522" t="s">
        <v>74</v>
      </c>
      <c r="I4" s="1596"/>
      <c r="J4" s="1596"/>
      <c r="K4" s="1596"/>
      <c r="L4" s="1524"/>
      <c r="M4" s="867"/>
      <c r="N4" s="1497" t="s">
        <v>75</v>
      </c>
      <c r="O4" s="1600"/>
      <c r="P4" s="1600"/>
      <c r="Q4" s="1600"/>
      <c r="R4" s="1600"/>
      <c r="S4" s="1499"/>
    </row>
    <row r="5" spans="1:19" ht="18.75" customHeight="1" x14ac:dyDescent="0.2">
      <c r="H5" s="1597"/>
      <c r="I5" s="1598"/>
      <c r="J5" s="1598"/>
      <c r="K5" s="1598"/>
      <c r="L5" s="1599"/>
      <c r="M5" s="867"/>
      <c r="N5" s="1500"/>
      <c r="O5" s="1601"/>
      <c r="P5" s="1601"/>
      <c r="Q5" s="1601"/>
      <c r="R5" s="1601"/>
      <c r="S5" s="1602"/>
    </row>
    <row r="6" spans="1:19" ht="15" customHeight="1" x14ac:dyDescent="0.25">
      <c r="B6" s="1588" t="s">
        <v>207</v>
      </c>
      <c r="C6" s="1589"/>
      <c r="D6" s="1590"/>
      <c r="E6" s="1046" t="s">
        <v>208</v>
      </c>
      <c r="F6" s="927" t="s">
        <v>209</v>
      </c>
      <c r="H6" s="1585" t="s">
        <v>207</v>
      </c>
      <c r="I6" s="1586"/>
      <c r="J6" s="1587"/>
      <c r="K6" s="909" t="s">
        <v>208</v>
      </c>
      <c r="L6" s="910" t="s">
        <v>209</v>
      </c>
      <c r="N6" s="1093"/>
      <c r="O6" s="1585" t="s">
        <v>207</v>
      </c>
      <c r="P6" s="1586"/>
      <c r="Q6" s="1587"/>
      <c r="R6" s="909" t="s">
        <v>208</v>
      </c>
      <c r="S6" s="910" t="s">
        <v>209</v>
      </c>
    </row>
    <row r="7" spans="1:19" ht="15" customHeight="1" x14ac:dyDescent="0.25">
      <c r="A7" s="1094" t="s">
        <v>543</v>
      </c>
      <c r="B7" s="931" t="s">
        <v>102</v>
      </c>
      <c r="C7" s="931" t="s">
        <v>103</v>
      </c>
      <c r="D7" s="931" t="s">
        <v>104</v>
      </c>
      <c r="E7" s="933" t="s">
        <v>99</v>
      </c>
      <c r="F7" s="934" t="s">
        <v>69</v>
      </c>
      <c r="H7" s="912" t="s">
        <v>102</v>
      </c>
      <c r="I7" s="912" t="s">
        <v>103</v>
      </c>
      <c r="J7" s="912" t="s">
        <v>104</v>
      </c>
      <c r="K7" s="913" t="s">
        <v>99</v>
      </c>
      <c r="L7" s="914" t="s">
        <v>69</v>
      </c>
      <c r="N7" s="1095" t="s">
        <v>543</v>
      </c>
      <c r="O7" s="915" t="s">
        <v>102</v>
      </c>
      <c r="P7" s="912" t="s">
        <v>103</v>
      </c>
      <c r="Q7" s="912" t="s">
        <v>104</v>
      </c>
      <c r="R7" s="913" t="s">
        <v>99</v>
      </c>
      <c r="S7" s="914" t="s">
        <v>69</v>
      </c>
    </row>
    <row r="8" spans="1:19" ht="15" customHeight="1" x14ac:dyDescent="0.2">
      <c r="A8" s="1096" t="s">
        <v>257</v>
      </c>
      <c r="B8" s="1097"/>
      <c r="C8" s="1097"/>
      <c r="D8" s="1097"/>
      <c r="E8" s="1097"/>
      <c r="F8" s="1098"/>
      <c r="H8" s="1097"/>
      <c r="I8" s="1097"/>
      <c r="J8" s="1097"/>
      <c r="K8" s="1097"/>
      <c r="L8" s="1098"/>
      <c r="N8" s="1096" t="s">
        <v>257</v>
      </c>
      <c r="O8" s="1097"/>
      <c r="P8" s="1097"/>
      <c r="Q8" s="1097"/>
      <c r="R8" s="1097"/>
      <c r="S8" s="1098"/>
    </row>
    <row r="9" spans="1:19" ht="12.95" customHeight="1" x14ac:dyDescent="0.2">
      <c r="A9" s="1099" t="s">
        <v>262</v>
      </c>
      <c r="B9" s="1100">
        <v>313.64400000000001</v>
      </c>
      <c r="C9" s="1100">
        <v>165.83800000000002</v>
      </c>
      <c r="D9" s="1100">
        <v>151.44</v>
      </c>
      <c r="E9" s="359">
        <v>139.90600000000001</v>
      </c>
      <c r="F9" s="359">
        <f>E9</f>
        <v>139.90600000000001</v>
      </c>
      <c r="H9" s="1100">
        <f>IFERROR(B9-O9,"")</f>
        <v>0</v>
      </c>
      <c r="I9" s="1100">
        <f>IFERROR(C9-P9,"")</f>
        <v>0</v>
      </c>
      <c r="J9" s="1100">
        <f>IFERROR(D9-Q9,"")</f>
        <v>0</v>
      </c>
      <c r="K9" s="359">
        <f>IFERROR(E9-R9,"")</f>
        <v>-11.533999999999992</v>
      </c>
      <c r="L9" s="359">
        <f>IFERROR(F9-S9,"")</f>
        <v>-11.533999999999992</v>
      </c>
      <c r="N9" s="1099" t="s">
        <v>262</v>
      </c>
      <c r="O9" s="1100">
        <v>313.64400000000001</v>
      </c>
      <c r="P9" s="1100">
        <v>165.83800000000002</v>
      </c>
      <c r="Q9" s="1100">
        <v>151.44</v>
      </c>
      <c r="R9" s="359">
        <v>151.44</v>
      </c>
      <c r="S9" s="359">
        <v>151.44</v>
      </c>
    </row>
    <row r="10" spans="1:19" ht="12.95" customHeight="1" x14ac:dyDescent="0.2">
      <c r="A10" s="1099" t="s">
        <v>544</v>
      </c>
      <c r="B10" s="359">
        <v>9.4370000000000012</v>
      </c>
      <c r="C10" s="359">
        <v>1.9470000000000001</v>
      </c>
      <c r="D10" s="1100">
        <v>3.33</v>
      </c>
      <c r="E10" s="359">
        <v>12.321999999999999</v>
      </c>
      <c r="F10" s="359">
        <f>E10</f>
        <v>12.321999999999999</v>
      </c>
      <c r="H10" s="359">
        <f t="shared" ref="H10:L49" si="0">IFERROR(B10-O10,"")</f>
        <v>0</v>
      </c>
      <c r="I10" s="359">
        <f t="shared" si="0"/>
        <v>0</v>
      </c>
      <c r="J10" s="1100">
        <f t="shared" si="0"/>
        <v>0</v>
      </c>
      <c r="K10" s="359">
        <f t="shared" si="0"/>
        <v>8.9919999999999991</v>
      </c>
      <c r="L10" s="359">
        <f t="shared" si="0"/>
        <v>8.9919999999999991</v>
      </c>
      <c r="N10" s="1099" t="s">
        <v>544</v>
      </c>
      <c r="O10" s="359">
        <v>9.4370000000000012</v>
      </c>
      <c r="P10" s="359">
        <v>1.9470000000000001</v>
      </c>
      <c r="Q10" s="1100">
        <v>3.33</v>
      </c>
      <c r="R10" s="359">
        <v>3.33</v>
      </c>
      <c r="S10" s="359">
        <v>3.33</v>
      </c>
    </row>
    <row r="11" spans="1:19" ht="12.95" customHeight="1" x14ac:dyDescent="0.2">
      <c r="A11" s="1099" t="s">
        <v>259</v>
      </c>
      <c r="B11" s="359">
        <v>25045.019</v>
      </c>
      <c r="C11" s="359">
        <v>16348.759999999998</v>
      </c>
      <c r="D11" s="1100">
        <v>17001.580000000002</v>
      </c>
      <c r="E11" s="359">
        <v>22491.594000000001</v>
      </c>
      <c r="F11" s="359">
        <f>E11</f>
        <v>22491.594000000001</v>
      </c>
      <c r="H11" s="359">
        <f t="shared" si="0"/>
        <v>0</v>
      </c>
      <c r="I11" s="359">
        <f t="shared" si="0"/>
        <v>0</v>
      </c>
      <c r="J11" s="1100">
        <f t="shared" si="0"/>
        <v>0</v>
      </c>
      <c r="K11" s="359">
        <f t="shared" si="0"/>
        <v>5490.0139999999992</v>
      </c>
      <c r="L11" s="359">
        <f t="shared" si="0"/>
        <v>5490.0139999999992</v>
      </c>
      <c r="N11" s="1099" t="s">
        <v>259</v>
      </c>
      <c r="O11" s="359">
        <v>25045.019</v>
      </c>
      <c r="P11" s="359">
        <v>16348.759999999998</v>
      </c>
      <c r="Q11" s="1100">
        <v>17001.580000000002</v>
      </c>
      <c r="R11" s="359">
        <v>17001.580000000002</v>
      </c>
      <c r="S11" s="359">
        <v>17001.580000000002</v>
      </c>
    </row>
    <row r="12" spans="1:19" ht="12.95" hidden="1" customHeight="1" x14ac:dyDescent="0.2">
      <c r="A12" s="1099" t="s">
        <v>261</v>
      </c>
      <c r="B12" s="359">
        <v>0</v>
      </c>
      <c r="C12" s="359">
        <v>0</v>
      </c>
      <c r="D12" s="359">
        <v>0</v>
      </c>
      <c r="E12" s="359">
        <v>0</v>
      </c>
      <c r="F12" s="359">
        <f t="shared" ref="F12:F18" si="1">E12</f>
        <v>0</v>
      </c>
      <c r="H12" s="359">
        <f t="shared" si="0"/>
        <v>0</v>
      </c>
      <c r="I12" s="359">
        <f t="shared" si="0"/>
        <v>0</v>
      </c>
      <c r="J12" s="359">
        <f t="shared" si="0"/>
        <v>0</v>
      </c>
      <c r="K12" s="359">
        <f t="shared" si="0"/>
        <v>0</v>
      </c>
      <c r="L12" s="359">
        <f t="shared" si="0"/>
        <v>0</v>
      </c>
      <c r="N12" s="1099" t="s">
        <v>261</v>
      </c>
      <c r="O12" s="359">
        <v>0</v>
      </c>
      <c r="P12" s="359">
        <v>0</v>
      </c>
      <c r="Q12" s="359">
        <v>0</v>
      </c>
      <c r="R12" s="359">
        <v>0</v>
      </c>
      <c r="S12" s="359">
        <v>0</v>
      </c>
    </row>
    <row r="13" spans="1:19" ht="12.95" customHeight="1" x14ac:dyDescent="0.2">
      <c r="A13" s="1099" t="s">
        <v>545</v>
      </c>
      <c r="B13" s="359">
        <v>60.906999999999996</v>
      </c>
      <c r="C13" s="359">
        <v>13.677</v>
      </c>
      <c r="D13" s="359">
        <v>15.79</v>
      </c>
      <c r="E13" s="359">
        <v>28.064</v>
      </c>
      <c r="F13" s="359">
        <f>E13</f>
        <v>28.064</v>
      </c>
      <c r="H13" s="359">
        <f t="shared" si="0"/>
        <v>0</v>
      </c>
      <c r="I13" s="359">
        <f t="shared" si="0"/>
        <v>0</v>
      </c>
      <c r="J13" s="359">
        <f t="shared" si="0"/>
        <v>0</v>
      </c>
      <c r="K13" s="359">
        <f t="shared" si="0"/>
        <v>12.274000000000001</v>
      </c>
      <c r="L13" s="359">
        <f t="shared" si="0"/>
        <v>12.274000000000001</v>
      </c>
      <c r="N13" s="1099" t="s">
        <v>545</v>
      </c>
      <c r="O13" s="359">
        <v>60.906999999999996</v>
      </c>
      <c r="P13" s="359">
        <v>13.677</v>
      </c>
      <c r="Q13" s="359">
        <v>15.79</v>
      </c>
      <c r="R13" s="359">
        <v>15.79</v>
      </c>
      <c r="S13" s="359">
        <v>15.79</v>
      </c>
    </row>
    <row r="14" spans="1:19" ht="12.95" customHeight="1" x14ac:dyDescent="0.2">
      <c r="A14" s="1099" t="s">
        <v>258</v>
      </c>
      <c r="B14" s="359">
        <v>443.49599999999998</v>
      </c>
      <c r="C14" s="359">
        <v>108.77500000000001</v>
      </c>
      <c r="D14" s="359">
        <v>490.32</v>
      </c>
      <c r="E14" s="359">
        <v>670.9</v>
      </c>
      <c r="F14" s="359">
        <f>E14</f>
        <v>670.9</v>
      </c>
      <c r="H14" s="359">
        <f t="shared" si="0"/>
        <v>0</v>
      </c>
      <c r="I14" s="359">
        <f t="shared" si="0"/>
        <v>0</v>
      </c>
      <c r="J14" s="359">
        <f t="shared" si="0"/>
        <v>0</v>
      </c>
      <c r="K14" s="359">
        <f t="shared" si="0"/>
        <v>180.57999999999998</v>
      </c>
      <c r="L14" s="359">
        <f t="shared" si="0"/>
        <v>180.57999999999998</v>
      </c>
      <c r="N14" s="1099" t="s">
        <v>258</v>
      </c>
      <c r="O14" s="359">
        <v>443.49599999999998</v>
      </c>
      <c r="P14" s="359">
        <v>108.77500000000001</v>
      </c>
      <c r="Q14" s="359">
        <v>490.32</v>
      </c>
      <c r="R14" s="359">
        <v>490.32</v>
      </c>
      <c r="S14" s="359">
        <v>490.32</v>
      </c>
    </row>
    <row r="15" spans="1:19" ht="12.95" customHeight="1" x14ac:dyDescent="0.2">
      <c r="A15" s="1099" t="s">
        <v>278</v>
      </c>
      <c r="B15" s="359">
        <v>0</v>
      </c>
      <c r="C15" s="359">
        <v>0</v>
      </c>
      <c r="D15" s="359">
        <v>182.26</v>
      </c>
      <c r="E15" s="359">
        <v>22.72</v>
      </c>
      <c r="F15" s="359">
        <f>E15</f>
        <v>22.72</v>
      </c>
      <c r="H15" s="359">
        <f t="shared" si="0"/>
        <v>0</v>
      </c>
      <c r="I15" s="359">
        <f t="shared" si="0"/>
        <v>0</v>
      </c>
      <c r="J15" s="359">
        <f t="shared" si="0"/>
        <v>0</v>
      </c>
      <c r="K15" s="359">
        <f t="shared" si="0"/>
        <v>-159.54</v>
      </c>
      <c r="L15" s="359">
        <f t="shared" si="0"/>
        <v>-159.54</v>
      </c>
      <c r="N15" s="1099" t="s">
        <v>278</v>
      </c>
      <c r="O15" s="359">
        <v>0</v>
      </c>
      <c r="P15" s="359">
        <v>0</v>
      </c>
      <c r="Q15" s="359">
        <v>182.26</v>
      </c>
      <c r="R15" s="359">
        <v>182.26</v>
      </c>
      <c r="S15" s="359">
        <v>182.26</v>
      </c>
    </row>
    <row r="16" spans="1:19" ht="12.95" customHeight="1" x14ac:dyDescent="0.2">
      <c r="A16" s="1099" t="s">
        <v>265</v>
      </c>
      <c r="B16" s="359">
        <v>0</v>
      </c>
      <c r="C16" s="359">
        <v>0</v>
      </c>
      <c r="D16" s="359">
        <v>490.32</v>
      </c>
      <c r="E16" s="359">
        <v>621.77199999999993</v>
      </c>
      <c r="F16" s="359">
        <f>E16</f>
        <v>621.77199999999993</v>
      </c>
      <c r="H16" s="359">
        <f t="shared" si="0"/>
        <v>0</v>
      </c>
      <c r="I16" s="359">
        <f t="shared" si="0"/>
        <v>0</v>
      </c>
      <c r="J16" s="359">
        <f t="shared" si="0"/>
        <v>0</v>
      </c>
      <c r="K16" s="359">
        <f t="shared" si="0"/>
        <v>131.45199999999994</v>
      </c>
      <c r="L16" s="359">
        <f t="shared" si="0"/>
        <v>131.45199999999994</v>
      </c>
      <c r="N16" s="1099" t="s">
        <v>265</v>
      </c>
      <c r="O16" s="359">
        <v>0</v>
      </c>
      <c r="P16" s="359">
        <v>0</v>
      </c>
      <c r="Q16" s="359">
        <v>490.32</v>
      </c>
      <c r="R16" s="359">
        <v>490.32</v>
      </c>
      <c r="S16" s="359">
        <v>490.32</v>
      </c>
    </row>
    <row r="17" spans="1:19" ht="12.95" customHeight="1" x14ac:dyDescent="0.2">
      <c r="A17" s="1099" t="s">
        <v>546</v>
      </c>
      <c r="B17" s="359">
        <v>932.55100000000016</v>
      </c>
      <c r="C17" s="359">
        <v>511.98500000000001</v>
      </c>
      <c r="D17" s="359">
        <v>0</v>
      </c>
      <c r="E17" s="359">
        <v>0</v>
      </c>
      <c r="F17" s="359">
        <f>E17</f>
        <v>0</v>
      </c>
      <c r="H17" s="359">
        <f t="shared" si="0"/>
        <v>0</v>
      </c>
      <c r="I17" s="359">
        <f t="shared" si="0"/>
        <v>0</v>
      </c>
      <c r="J17" s="359">
        <f t="shared" si="0"/>
        <v>0</v>
      </c>
      <c r="K17" s="359">
        <f t="shared" si="0"/>
        <v>0</v>
      </c>
      <c r="L17" s="359">
        <f t="shared" si="0"/>
        <v>0</v>
      </c>
      <c r="N17" s="1099" t="s">
        <v>546</v>
      </c>
      <c r="O17" s="359">
        <v>932.55100000000016</v>
      </c>
      <c r="P17" s="359">
        <v>511.98500000000001</v>
      </c>
      <c r="Q17" s="359">
        <v>0</v>
      </c>
      <c r="R17" s="359">
        <v>0</v>
      </c>
      <c r="S17" s="359">
        <v>0</v>
      </c>
    </row>
    <row r="18" spans="1:19" ht="12.95" hidden="1" customHeight="1" x14ac:dyDescent="0.2">
      <c r="A18" s="1099" t="s">
        <v>260</v>
      </c>
      <c r="B18" s="359">
        <v>0</v>
      </c>
      <c r="C18" s="359">
        <v>0</v>
      </c>
      <c r="D18" s="359">
        <v>0</v>
      </c>
      <c r="E18" s="359">
        <v>0</v>
      </c>
      <c r="F18" s="359">
        <f t="shared" si="1"/>
        <v>0</v>
      </c>
      <c r="H18" s="359">
        <f t="shared" si="0"/>
        <v>0</v>
      </c>
      <c r="I18" s="359">
        <f t="shared" si="0"/>
        <v>0</v>
      </c>
      <c r="J18" s="359">
        <f t="shared" si="0"/>
        <v>0</v>
      </c>
      <c r="K18" s="359">
        <f t="shared" si="0"/>
        <v>0</v>
      </c>
      <c r="L18" s="359">
        <f t="shared" si="0"/>
        <v>0</v>
      </c>
      <c r="N18" s="1099" t="s">
        <v>260</v>
      </c>
      <c r="O18" s="359">
        <v>0</v>
      </c>
      <c r="P18" s="359">
        <v>0</v>
      </c>
      <c r="Q18" s="359">
        <v>0</v>
      </c>
      <c r="R18" s="359">
        <v>0</v>
      </c>
      <c r="S18" s="359">
        <v>0</v>
      </c>
    </row>
    <row r="19" spans="1:19" ht="12.95" customHeight="1" x14ac:dyDescent="0.2">
      <c r="A19" s="1099" t="s">
        <v>547</v>
      </c>
      <c r="B19" s="359">
        <v>1394.4389999999999</v>
      </c>
      <c r="C19" s="359">
        <v>1078.884</v>
      </c>
      <c r="D19" s="359">
        <v>919.86</v>
      </c>
      <c r="E19" s="359">
        <v>811.35199999999998</v>
      </c>
      <c r="F19" s="359">
        <f>E19</f>
        <v>811.35199999999998</v>
      </c>
      <c r="H19" s="359">
        <f t="shared" si="0"/>
        <v>0</v>
      </c>
      <c r="I19" s="359">
        <f t="shared" si="0"/>
        <v>0</v>
      </c>
      <c r="J19" s="359">
        <f t="shared" si="0"/>
        <v>0</v>
      </c>
      <c r="K19" s="359">
        <f t="shared" si="0"/>
        <v>-108.50800000000004</v>
      </c>
      <c r="L19" s="359">
        <f t="shared" si="0"/>
        <v>-108.50800000000004</v>
      </c>
      <c r="N19" s="1099" t="s">
        <v>547</v>
      </c>
      <c r="O19" s="359">
        <v>1394.4389999999999</v>
      </c>
      <c r="P19" s="359">
        <v>1078.884</v>
      </c>
      <c r="Q19" s="359">
        <v>919.86</v>
      </c>
      <c r="R19" s="359">
        <v>919.86</v>
      </c>
      <c r="S19" s="359">
        <v>919.86</v>
      </c>
    </row>
    <row r="20" spans="1:19" ht="3.75" customHeight="1" x14ac:dyDescent="0.2">
      <c r="A20" s="1101"/>
      <c r="B20" s="1103"/>
      <c r="C20" s="1103"/>
      <c r="D20" s="1103"/>
      <c r="E20" s="1102"/>
      <c r="F20" s="1103"/>
      <c r="H20" s="1103"/>
      <c r="I20" s="1103"/>
      <c r="J20" s="1103"/>
      <c r="K20" s="1102"/>
      <c r="L20" s="1103"/>
      <c r="N20" s="1101"/>
      <c r="O20" s="1103"/>
      <c r="P20" s="1103"/>
      <c r="Q20" s="1103"/>
      <c r="R20" s="1102"/>
      <c r="S20" s="1103"/>
    </row>
    <row r="21" spans="1:19" ht="12.95" customHeight="1" x14ac:dyDescent="0.2">
      <c r="A21" s="1080" t="s">
        <v>548</v>
      </c>
      <c r="B21" s="367">
        <f t="shared" ref="B21:F21" si="2">SUM(B9:B20)</f>
        <v>28199.492999999995</v>
      </c>
      <c r="C21" s="367">
        <f t="shared" si="2"/>
        <v>18229.866000000002</v>
      </c>
      <c r="D21" s="367">
        <f t="shared" si="2"/>
        <v>19254.900000000001</v>
      </c>
      <c r="E21" s="1104">
        <f>SUM(E9:E20)</f>
        <v>24798.63</v>
      </c>
      <c r="F21" s="367">
        <f t="shared" si="2"/>
        <v>24798.63</v>
      </c>
      <c r="H21" s="367">
        <f t="shared" si="0"/>
        <v>0</v>
      </c>
      <c r="I21" s="367">
        <f t="shared" si="0"/>
        <v>0</v>
      </c>
      <c r="J21" s="367">
        <f t="shared" si="0"/>
        <v>0</v>
      </c>
      <c r="K21" s="1104">
        <f t="shared" si="0"/>
        <v>5543.73</v>
      </c>
      <c r="L21" s="367">
        <f t="shared" si="0"/>
        <v>5543.73</v>
      </c>
      <c r="N21" s="1105" t="s">
        <v>548</v>
      </c>
      <c r="O21" s="367">
        <v>28199.492999999995</v>
      </c>
      <c r="P21" s="367">
        <v>18229.866000000002</v>
      </c>
      <c r="Q21" s="367">
        <v>19254.900000000001</v>
      </c>
      <c r="R21" s="1104">
        <v>19254.900000000001</v>
      </c>
      <c r="S21" s="367">
        <v>19254.900000000001</v>
      </c>
    </row>
    <row r="22" spans="1:19" ht="18" customHeight="1" x14ac:dyDescent="0.2">
      <c r="A22" s="1096" t="s">
        <v>273</v>
      </c>
      <c r="B22" s="354"/>
      <c r="C22" s="354"/>
      <c r="D22" s="354"/>
      <c r="E22" s="1106"/>
      <c r="F22" s="1106"/>
      <c r="H22" s="354"/>
      <c r="I22" s="354"/>
      <c r="J22" s="354"/>
      <c r="K22" s="1106"/>
      <c r="L22" s="1106"/>
      <c r="N22" s="1096" t="s">
        <v>273</v>
      </c>
      <c r="O22" s="354"/>
      <c r="P22" s="354"/>
      <c r="Q22" s="354"/>
      <c r="R22" s="1106"/>
      <c r="S22" s="1106"/>
    </row>
    <row r="23" spans="1:19" ht="12.95" customHeight="1" x14ac:dyDescent="0.2">
      <c r="A23" s="1099" t="s">
        <v>262</v>
      </c>
      <c r="B23" s="97">
        <v>3830.8656629809593</v>
      </c>
      <c r="C23" s="572">
        <v>3621.6548680037131</v>
      </c>
      <c r="D23" s="572">
        <v>3752.8922345483361</v>
      </c>
      <c r="E23" s="1108">
        <v>3401.7445999456777</v>
      </c>
      <c r="F23" s="1108">
        <v>3798.3045435730796</v>
      </c>
      <c r="H23" s="97">
        <f t="shared" si="0"/>
        <v>0</v>
      </c>
      <c r="I23" s="572">
        <f t="shared" si="0"/>
        <v>0</v>
      </c>
      <c r="J23" s="572">
        <f t="shared" si="0"/>
        <v>0</v>
      </c>
      <c r="K23" s="1108">
        <f t="shared" si="0"/>
        <v>-396.55994362740194</v>
      </c>
      <c r="L23" s="1108">
        <f t="shared" si="0"/>
        <v>0</v>
      </c>
      <c r="N23" s="1099" t="s">
        <v>262</v>
      </c>
      <c r="O23" s="97">
        <v>3830.8656629809593</v>
      </c>
      <c r="P23" s="572">
        <v>3621.6548680037131</v>
      </c>
      <c r="Q23" s="572">
        <v>3752.8922345483361</v>
      </c>
      <c r="R23" s="1108">
        <v>3798.3045435730796</v>
      </c>
      <c r="S23" s="1108">
        <v>3798.3045435730796</v>
      </c>
    </row>
    <row r="24" spans="1:19" ht="12.95" customHeight="1" x14ac:dyDescent="0.2">
      <c r="A24" s="1099" t="s">
        <v>544</v>
      </c>
      <c r="B24" s="144">
        <v>653.52230581752667</v>
      </c>
      <c r="C24" s="940">
        <v>782.31124807395997</v>
      </c>
      <c r="D24" s="940">
        <v>715.01501501501502</v>
      </c>
      <c r="E24" s="852">
        <v>271.24655088459667</v>
      </c>
      <c r="F24" s="852">
        <v>642.26253609998435</v>
      </c>
      <c r="H24" s="144">
        <f t="shared" si="0"/>
        <v>0</v>
      </c>
      <c r="I24" s="940">
        <f t="shared" si="0"/>
        <v>0</v>
      </c>
      <c r="J24" s="940">
        <f t="shared" si="0"/>
        <v>0</v>
      </c>
      <c r="K24" s="852">
        <f t="shared" si="0"/>
        <v>-371.01598521538767</v>
      </c>
      <c r="L24" s="852">
        <f t="shared" si="0"/>
        <v>0</v>
      </c>
      <c r="N24" s="1099" t="s">
        <v>544</v>
      </c>
      <c r="O24" s="144">
        <v>653.52230581752667</v>
      </c>
      <c r="P24" s="940">
        <v>782.31124807395997</v>
      </c>
      <c r="Q24" s="940">
        <v>715.01501501501502</v>
      </c>
      <c r="R24" s="852">
        <v>642.26253609998435</v>
      </c>
      <c r="S24" s="852">
        <v>642.26253609998435</v>
      </c>
    </row>
    <row r="25" spans="1:19" ht="12.95" customHeight="1" x14ac:dyDescent="0.2">
      <c r="A25" s="1099" t="s">
        <v>259</v>
      </c>
      <c r="B25" s="144">
        <v>130.10403346070535</v>
      </c>
      <c r="C25" s="940">
        <v>111.46011685289889</v>
      </c>
      <c r="D25" s="940">
        <v>110.48679005127758</v>
      </c>
      <c r="E25" s="852">
        <v>124.26185089416073</v>
      </c>
      <c r="F25" s="852">
        <v>123.73475201726301</v>
      </c>
      <c r="H25" s="144">
        <f t="shared" si="0"/>
        <v>0</v>
      </c>
      <c r="I25" s="940">
        <f t="shared" si="0"/>
        <v>0</v>
      </c>
      <c r="J25" s="940">
        <f t="shared" si="0"/>
        <v>0</v>
      </c>
      <c r="K25" s="852">
        <f t="shared" si="0"/>
        <v>0.52709887689772472</v>
      </c>
      <c r="L25" s="852">
        <f t="shared" si="0"/>
        <v>0</v>
      </c>
      <c r="N25" s="1099" t="s">
        <v>259</v>
      </c>
      <c r="O25" s="144">
        <v>130.10403346070535</v>
      </c>
      <c r="P25" s="940">
        <v>111.46011685289889</v>
      </c>
      <c r="Q25" s="940">
        <v>110.48679005127758</v>
      </c>
      <c r="R25" s="852">
        <v>123.73475201726301</v>
      </c>
      <c r="S25" s="852">
        <v>123.73475201726301</v>
      </c>
    </row>
    <row r="26" spans="1:19" ht="12.95" hidden="1" customHeight="1" x14ac:dyDescent="0.2">
      <c r="A26" s="1109" t="s">
        <v>261</v>
      </c>
      <c r="B26" s="144">
        <v>0</v>
      </c>
      <c r="C26" s="940">
        <v>0</v>
      </c>
      <c r="D26" s="940">
        <v>0</v>
      </c>
      <c r="E26" s="852"/>
      <c r="F26" s="852">
        <v>27.811663664098432</v>
      </c>
      <c r="H26" s="144">
        <f t="shared" si="0"/>
        <v>0</v>
      </c>
      <c r="I26" s="940">
        <f t="shared" si="0"/>
        <v>0</v>
      </c>
      <c r="J26" s="940">
        <f t="shared" si="0"/>
        <v>0</v>
      </c>
      <c r="K26" s="852">
        <f t="shared" si="0"/>
        <v>0</v>
      </c>
      <c r="L26" s="852">
        <f t="shared" si="0"/>
        <v>27.811663664098432</v>
      </c>
      <c r="N26" s="1109" t="s">
        <v>261</v>
      </c>
      <c r="O26" s="144">
        <v>0</v>
      </c>
      <c r="P26" s="940">
        <v>0</v>
      </c>
      <c r="Q26" s="940">
        <v>0</v>
      </c>
      <c r="R26" s="852">
        <v>0</v>
      </c>
      <c r="S26" s="852">
        <v>0</v>
      </c>
    </row>
    <row r="27" spans="1:19" ht="12.95" customHeight="1" x14ac:dyDescent="0.2">
      <c r="A27" s="1109" t="str">
        <f>+A13</f>
        <v>HDPE (CRV containers only)</v>
      </c>
      <c r="B27" s="144">
        <v>1209.2078086262661</v>
      </c>
      <c r="C27" s="940">
        <v>1477.3546830445275</v>
      </c>
      <c r="D27" s="940">
        <v>1446.8461051298291</v>
      </c>
      <c r="E27" s="852">
        <v>680.40193842645374</v>
      </c>
      <c r="F27" s="852">
        <v>1077.8593775985432</v>
      </c>
      <c r="H27" s="144">
        <f t="shared" si="0"/>
        <v>0</v>
      </c>
      <c r="I27" s="940">
        <f t="shared" si="0"/>
        <v>0</v>
      </c>
      <c r="J27" s="940">
        <f t="shared" si="0"/>
        <v>0</v>
      </c>
      <c r="K27" s="852">
        <f t="shared" si="0"/>
        <v>-397.45743917208949</v>
      </c>
      <c r="L27" s="852">
        <f t="shared" si="0"/>
        <v>0</v>
      </c>
      <c r="N27" s="1109" t="str">
        <f>+N13</f>
        <v>HDPE (CRV containers only)</v>
      </c>
      <c r="O27" s="144">
        <v>1209.2078086262661</v>
      </c>
      <c r="P27" s="940">
        <v>1477.3546830445275</v>
      </c>
      <c r="Q27" s="940">
        <v>1446.8461051298291</v>
      </c>
      <c r="R27" s="852">
        <v>1077.8593775985432</v>
      </c>
      <c r="S27" s="852">
        <v>1077.8593775985432</v>
      </c>
    </row>
    <row r="28" spans="1:19" ht="12.95" customHeight="1" x14ac:dyDescent="0.2">
      <c r="A28" s="1109" t="s">
        <v>258</v>
      </c>
      <c r="B28" s="144">
        <v>107.66660804156068</v>
      </c>
      <c r="C28" s="940">
        <v>73.666191680073538</v>
      </c>
      <c r="D28" s="940">
        <v>77.97968673519334</v>
      </c>
      <c r="E28" s="852">
        <v>85.252884185422573</v>
      </c>
      <c r="F28" s="852">
        <v>129.83835627221626</v>
      </c>
      <c r="H28" s="144">
        <f t="shared" si="0"/>
        <v>0</v>
      </c>
      <c r="I28" s="940">
        <f t="shared" si="0"/>
        <v>0</v>
      </c>
      <c r="J28" s="940">
        <f t="shared" si="0"/>
        <v>0</v>
      </c>
      <c r="K28" s="852">
        <f t="shared" si="0"/>
        <v>-44.585472086793686</v>
      </c>
      <c r="L28" s="852">
        <f t="shared" si="0"/>
        <v>0</v>
      </c>
      <c r="N28" s="1109" t="s">
        <v>258</v>
      </c>
      <c r="O28" s="144">
        <v>107.66660804156068</v>
      </c>
      <c r="P28" s="940">
        <v>73.666191680073538</v>
      </c>
      <c r="Q28" s="940">
        <v>77.97968673519334</v>
      </c>
      <c r="R28" s="852">
        <v>129.83835627221626</v>
      </c>
      <c r="S28" s="852">
        <v>129.83835627221626</v>
      </c>
    </row>
    <row r="29" spans="1:19" ht="12.95" customHeight="1" x14ac:dyDescent="0.2">
      <c r="A29" s="1109" t="s">
        <v>278</v>
      </c>
      <c r="B29" s="144">
        <v>0</v>
      </c>
      <c r="C29" s="940">
        <v>0</v>
      </c>
      <c r="D29" s="940">
        <v>34.782727971030397</v>
      </c>
      <c r="E29" s="852">
        <v>90</v>
      </c>
      <c r="F29" s="852">
        <v>10.918111179537533</v>
      </c>
      <c r="H29" s="144">
        <f t="shared" si="0"/>
        <v>0</v>
      </c>
      <c r="I29" s="940">
        <f t="shared" si="0"/>
        <v>0</v>
      </c>
      <c r="J29" s="940">
        <f t="shared" si="0"/>
        <v>0</v>
      </c>
      <c r="K29" s="852">
        <f t="shared" si="0"/>
        <v>79.081888820462467</v>
      </c>
      <c r="L29" s="852">
        <f t="shared" si="0"/>
        <v>0</v>
      </c>
      <c r="N29" s="1109" t="s">
        <v>278</v>
      </c>
      <c r="O29" s="144">
        <v>0</v>
      </c>
      <c r="P29" s="940">
        <v>0</v>
      </c>
      <c r="Q29" s="940">
        <v>34.782727971030397</v>
      </c>
      <c r="R29" s="852">
        <v>10.918111179537533</v>
      </c>
      <c r="S29" s="852">
        <v>10.918111179537533</v>
      </c>
    </row>
    <row r="30" spans="1:19" ht="12.95" customHeight="1" x14ac:dyDescent="0.2">
      <c r="A30" s="1109" t="s">
        <v>265</v>
      </c>
      <c r="B30" s="144">
        <v>0</v>
      </c>
      <c r="C30" s="940">
        <v>0</v>
      </c>
      <c r="D30" s="940">
        <v>1790.9366536139664</v>
      </c>
      <c r="E30" s="852">
        <v>1469.2992608222951</v>
      </c>
      <c r="F30" s="852">
        <v>781.59061511630523</v>
      </c>
      <c r="H30" s="144">
        <f t="shared" si="0"/>
        <v>0</v>
      </c>
      <c r="I30" s="940">
        <f t="shared" si="0"/>
        <v>0</v>
      </c>
      <c r="J30" s="940">
        <f t="shared" si="0"/>
        <v>0</v>
      </c>
      <c r="K30" s="852">
        <f t="shared" si="0"/>
        <v>687.70864570598985</v>
      </c>
      <c r="L30" s="852">
        <f t="shared" si="0"/>
        <v>0</v>
      </c>
      <c r="N30" s="1109" t="s">
        <v>265</v>
      </c>
      <c r="O30" s="144">
        <v>0</v>
      </c>
      <c r="P30" s="940">
        <v>0</v>
      </c>
      <c r="Q30" s="940">
        <v>1790.9366536139664</v>
      </c>
      <c r="R30" s="852">
        <v>781.59061511630523</v>
      </c>
      <c r="S30" s="852">
        <v>781.59061511630523</v>
      </c>
    </row>
    <row r="31" spans="1:19" ht="12.95" customHeight="1" x14ac:dyDescent="0.2">
      <c r="A31" s="1109" t="s">
        <v>546</v>
      </c>
      <c r="B31" s="144">
        <v>1417.1160075963671</v>
      </c>
      <c r="C31" s="940">
        <v>1660.7474242409401</v>
      </c>
      <c r="D31" s="940">
        <v>0</v>
      </c>
      <c r="E31" s="852">
        <v>0</v>
      </c>
      <c r="F31" s="852">
        <v>0</v>
      </c>
      <c r="H31" s="144">
        <f t="shared" si="0"/>
        <v>0</v>
      </c>
      <c r="I31" s="940">
        <f t="shared" si="0"/>
        <v>0</v>
      </c>
      <c r="J31" s="940">
        <f t="shared" si="0"/>
        <v>0</v>
      </c>
      <c r="K31" s="852">
        <f t="shared" si="0"/>
        <v>0</v>
      </c>
      <c r="L31" s="852">
        <f t="shared" si="0"/>
        <v>0</v>
      </c>
      <c r="N31" s="1109" t="s">
        <v>546</v>
      </c>
      <c r="O31" s="144">
        <v>1417.1160075963671</v>
      </c>
      <c r="P31" s="940">
        <v>1660.7474242409401</v>
      </c>
      <c r="Q31" s="940">
        <v>0</v>
      </c>
      <c r="R31" s="852">
        <v>0</v>
      </c>
      <c r="S31" s="852">
        <v>0</v>
      </c>
    </row>
    <row r="32" spans="1:19" ht="12.95" hidden="1" customHeight="1" x14ac:dyDescent="0.2">
      <c r="A32" s="1109" t="s">
        <v>260</v>
      </c>
      <c r="B32" s="144">
        <v>0</v>
      </c>
      <c r="C32" s="940">
        <v>0</v>
      </c>
      <c r="D32" s="940">
        <v>0</v>
      </c>
      <c r="E32" s="852"/>
      <c r="F32" s="852">
        <v>47.32136015024183</v>
      </c>
      <c r="H32" s="144">
        <f t="shared" si="0"/>
        <v>0</v>
      </c>
      <c r="I32" s="940">
        <f t="shared" si="0"/>
        <v>0</v>
      </c>
      <c r="J32" s="940">
        <f t="shared" si="0"/>
        <v>0</v>
      </c>
      <c r="K32" s="852">
        <f t="shared" si="0"/>
        <v>0</v>
      </c>
      <c r="L32" s="852">
        <f t="shared" si="0"/>
        <v>47.32136015024183</v>
      </c>
      <c r="N32" s="1109" t="s">
        <v>260</v>
      </c>
      <c r="O32" s="144">
        <v>0</v>
      </c>
      <c r="P32" s="940">
        <v>0</v>
      </c>
      <c r="Q32" s="940">
        <v>0</v>
      </c>
      <c r="R32" s="852">
        <v>0</v>
      </c>
      <c r="S32" s="852">
        <v>0</v>
      </c>
    </row>
    <row r="33" spans="1:19" ht="12.95" customHeight="1" x14ac:dyDescent="0.2">
      <c r="A33" s="1099" t="str">
        <f>+A19</f>
        <v>Whole Bottle Glass (CRV containers only)</v>
      </c>
      <c r="B33" s="142">
        <v>192.95102905182665</v>
      </c>
      <c r="C33" s="940">
        <v>194.61500031514041</v>
      </c>
      <c r="D33" s="940">
        <v>203.49835844585044</v>
      </c>
      <c r="E33" s="852">
        <v>208.70253601396189</v>
      </c>
      <c r="F33" s="852">
        <v>197.30983853410007</v>
      </c>
      <c r="H33" s="142">
        <f t="shared" si="0"/>
        <v>0</v>
      </c>
      <c r="I33" s="940">
        <f t="shared" si="0"/>
        <v>0</v>
      </c>
      <c r="J33" s="940">
        <f t="shared" si="0"/>
        <v>0</v>
      </c>
      <c r="K33" s="852">
        <f t="shared" si="0"/>
        <v>11.392697479861823</v>
      </c>
      <c r="L33" s="852">
        <f t="shared" si="0"/>
        <v>0</v>
      </c>
      <c r="N33" s="1099" t="str">
        <f>+N19</f>
        <v>Whole Bottle Glass (CRV containers only)</v>
      </c>
      <c r="O33" s="142">
        <v>192.95102905182665</v>
      </c>
      <c r="P33" s="940">
        <v>194.61500031514041</v>
      </c>
      <c r="Q33" s="940">
        <v>203.49835844585044</v>
      </c>
      <c r="R33" s="852">
        <v>197.30983853410007</v>
      </c>
      <c r="S33" s="852">
        <v>197.30983853410007</v>
      </c>
    </row>
    <row r="34" spans="1:19" ht="2.25" customHeight="1" x14ac:dyDescent="0.2">
      <c r="A34" s="1101"/>
      <c r="B34" s="1111"/>
      <c r="C34" s="1111"/>
      <c r="D34" s="1111"/>
      <c r="E34" s="1110"/>
      <c r="F34" s="1110"/>
      <c r="H34" s="1111"/>
      <c r="I34" s="1111"/>
      <c r="J34" s="1111"/>
      <c r="K34" s="1110"/>
      <c r="L34" s="1110"/>
      <c r="N34" s="1101"/>
      <c r="O34" s="1111"/>
      <c r="P34" s="1111"/>
      <c r="Q34" s="1111"/>
      <c r="R34" s="1110"/>
      <c r="S34" s="1110"/>
    </row>
    <row r="35" spans="1:19" ht="12.95" customHeight="1" x14ac:dyDescent="0.2">
      <c r="A35" s="1112" t="s">
        <v>46</v>
      </c>
      <c r="B35" s="354"/>
      <c r="C35" s="354"/>
      <c r="D35" s="354"/>
      <c r="E35" s="1106"/>
      <c r="F35" s="1106"/>
      <c r="H35" s="354"/>
      <c r="I35" s="354"/>
      <c r="J35" s="354"/>
      <c r="K35" s="1106"/>
      <c r="L35" s="1106"/>
      <c r="N35" s="1112" t="s">
        <v>46</v>
      </c>
      <c r="O35" s="354"/>
      <c r="P35" s="354"/>
      <c r="Q35" s="354"/>
      <c r="R35" s="1106"/>
      <c r="S35" s="1106"/>
    </row>
    <row r="36" spans="1:19" ht="12.95" customHeight="1" x14ac:dyDescent="0.2">
      <c r="A36" s="1099" t="s">
        <v>262</v>
      </c>
      <c r="B36" s="377">
        <f t="shared" ref="B36:E46" si="3">ROUND(B9*B23,2)</f>
        <v>1201528.03</v>
      </c>
      <c r="C36" s="377">
        <f>ROUND(C9*C23,2)</f>
        <v>600608</v>
      </c>
      <c r="D36" s="377">
        <f>ROUND(D9*D23,2)</f>
        <v>568338</v>
      </c>
      <c r="E36" s="377">
        <f>ROUND(E9*E23,2)</f>
        <v>475924.47999999998</v>
      </c>
      <c r="F36" s="1113">
        <f t="shared" ref="F36:F43" si="4">F9*F23</f>
        <v>531405.59547313536</v>
      </c>
      <c r="H36" s="377">
        <f t="shared" si="0"/>
        <v>0</v>
      </c>
      <c r="I36" s="377">
        <f t="shared" si="0"/>
        <v>0</v>
      </c>
      <c r="J36" s="377">
        <f t="shared" si="0"/>
        <v>0</v>
      </c>
      <c r="K36" s="377">
        <f t="shared" si="0"/>
        <v>-99290.760000000009</v>
      </c>
      <c r="L36" s="1113">
        <f t="shared" si="0"/>
        <v>-43809.64460557187</v>
      </c>
      <c r="N36" s="1099" t="s">
        <v>262</v>
      </c>
      <c r="O36" s="377">
        <v>1201528.03</v>
      </c>
      <c r="P36" s="377">
        <v>600608</v>
      </c>
      <c r="Q36" s="377">
        <v>568338</v>
      </c>
      <c r="R36" s="377">
        <v>575215.24</v>
      </c>
      <c r="S36" s="1113">
        <v>575215.24007870723</v>
      </c>
    </row>
    <row r="37" spans="1:19" ht="12.95" customHeight="1" x14ac:dyDescent="0.2">
      <c r="A37" s="1099" t="s">
        <v>544</v>
      </c>
      <c r="B37" s="359">
        <f t="shared" si="3"/>
        <v>6167.29</v>
      </c>
      <c r="C37" s="359">
        <f t="shared" si="3"/>
        <v>1523.16</v>
      </c>
      <c r="D37" s="359">
        <f t="shared" si="3"/>
        <v>2381</v>
      </c>
      <c r="E37" s="359">
        <f t="shared" si="3"/>
        <v>3342.3</v>
      </c>
      <c r="F37" s="1100">
        <f t="shared" si="4"/>
        <v>7913.958969824007</v>
      </c>
      <c r="H37" s="359">
        <f t="shared" si="0"/>
        <v>0</v>
      </c>
      <c r="I37" s="359">
        <f t="shared" si="0"/>
        <v>0</v>
      </c>
      <c r="J37" s="359">
        <f t="shared" si="0"/>
        <v>0</v>
      </c>
      <c r="K37" s="359">
        <f t="shared" si="0"/>
        <v>1203.5700000000002</v>
      </c>
      <c r="L37" s="1100">
        <f t="shared" si="0"/>
        <v>5775.2247246110592</v>
      </c>
      <c r="N37" s="1099" t="s">
        <v>544</v>
      </c>
      <c r="O37" s="359">
        <v>6167.29</v>
      </c>
      <c r="P37" s="359">
        <v>1523.16</v>
      </c>
      <c r="Q37" s="359">
        <v>2381</v>
      </c>
      <c r="R37" s="359">
        <v>2138.73</v>
      </c>
      <c r="S37" s="1100">
        <v>2138.7342452129478</v>
      </c>
    </row>
    <row r="38" spans="1:19" ht="12.95" customHeight="1" x14ac:dyDescent="0.2">
      <c r="A38" s="1099" t="s">
        <v>259</v>
      </c>
      <c r="B38" s="359">
        <f t="shared" si="3"/>
        <v>3258457.99</v>
      </c>
      <c r="C38" s="359">
        <f t="shared" si="3"/>
        <v>1822234.7</v>
      </c>
      <c r="D38" s="359">
        <f t="shared" si="3"/>
        <v>1878450</v>
      </c>
      <c r="E38" s="359">
        <f t="shared" si="3"/>
        <v>2794847.1</v>
      </c>
      <c r="F38" s="1100">
        <f t="shared" si="4"/>
        <v>2782991.8060629605</v>
      </c>
      <c r="H38" s="359">
        <f t="shared" si="0"/>
        <v>0</v>
      </c>
      <c r="I38" s="359">
        <f t="shared" si="0"/>
        <v>0</v>
      </c>
      <c r="J38" s="359">
        <f t="shared" si="0"/>
        <v>0</v>
      </c>
      <c r="K38" s="359">
        <f t="shared" si="0"/>
        <v>691160.81</v>
      </c>
      <c r="L38" s="1100">
        <f t="shared" si="0"/>
        <v>679305.52086130204</v>
      </c>
      <c r="N38" s="1099" t="s">
        <v>259</v>
      </c>
      <c r="O38" s="359">
        <v>3258457.99</v>
      </c>
      <c r="P38" s="359">
        <v>1822234.7</v>
      </c>
      <c r="Q38" s="359">
        <v>1878450</v>
      </c>
      <c r="R38" s="359">
        <v>2103686.29</v>
      </c>
      <c r="S38" s="1100">
        <v>2103686.2852016585</v>
      </c>
    </row>
    <row r="39" spans="1:19" ht="12.95" hidden="1" customHeight="1" x14ac:dyDescent="0.2">
      <c r="A39" s="1099" t="s">
        <v>261</v>
      </c>
      <c r="B39" s="359">
        <f t="shared" si="3"/>
        <v>0</v>
      </c>
      <c r="C39" s="359">
        <f t="shared" si="3"/>
        <v>0</v>
      </c>
      <c r="D39" s="359">
        <f t="shared" si="3"/>
        <v>0</v>
      </c>
      <c r="E39" s="359">
        <f t="shared" si="3"/>
        <v>0</v>
      </c>
      <c r="F39" s="1100">
        <f t="shared" si="4"/>
        <v>0</v>
      </c>
      <c r="H39" s="359">
        <f t="shared" si="0"/>
        <v>0</v>
      </c>
      <c r="I39" s="359">
        <f t="shared" si="0"/>
        <v>0</v>
      </c>
      <c r="J39" s="359">
        <f t="shared" si="0"/>
        <v>0</v>
      </c>
      <c r="K39" s="359">
        <f t="shared" si="0"/>
        <v>0</v>
      </c>
      <c r="L39" s="1100">
        <f t="shared" si="0"/>
        <v>0</v>
      </c>
      <c r="N39" s="1099" t="s">
        <v>261</v>
      </c>
      <c r="O39" s="359">
        <v>0</v>
      </c>
      <c r="P39" s="359">
        <v>0</v>
      </c>
      <c r="Q39" s="359">
        <v>0</v>
      </c>
      <c r="R39" s="359">
        <v>0</v>
      </c>
      <c r="S39" s="1100">
        <v>0</v>
      </c>
    </row>
    <row r="40" spans="1:19" ht="12.95" customHeight="1" x14ac:dyDescent="0.2">
      <c r="A40" s="1099" t="str">
        <f>+A27</f>
        <v>HDPE (CRV containers only)</v>
      </c>
      <c r="B40" s="359">
        <f t="shared" si="3"/>
        <v>73649.22</v>
      </c>
      <c r="C40" s="359">
        <f t="shared" si="3"/>
        <v>20205.78</v>
      </c>
      <c r="D40" s="359">
        <f t="shared" si="3"/>
        <v>22845.7</v>
      </c>
      <c r="E40" s="359">
        <f t="shared" si="3"/>
        <v>19094.8</v>
      </c>
      <c r="F40" s="1100">
        <f t="shared" si="4"/>
        <v>30249.045572925519</v>
      </c>
      <c r="H40" s="359">
        <f t="shared" si="0"/>
        <v>0</v>
      </c>
      <c r="I40" s="359">
        <f t="shared" si="0"/>
        <v>0</v>
      </c>
      <c r="J40" s="359">
        <f t="shared" si="0"/>
        <v>0</v>
      </c>
      <c r="K40" s="359">
        <f t="shared" si="0"/>
        <v>2075.3999999999978</v>
      </c>
      <c r="L40" s="1100">
        <f t="shared" si="0"/>
        <v>13229.646000644523</v>
      </c>
      <c r="N40" s="1099" t="str">
        <f>+N27</f>
        <v>HDPE (CRV containers only)</v>
      </c>
      <c r="O40" s="359">
        <v>73649.22</v>
      </c>
      <c r="P40" s="359">
        <v>20205.78</v>
      </c>
      <c r="Q40" s="359">
        <v>22845.7</v>
      </c>
      <c r="R40" s="359">
        <v>17019.400000000001</v>
      </c>
      <c r="S40" s="1100">
        <v>17019.399572280996</v>
      </c>
    </row>
    <row r="41" spans="1:19" ht="12.95" customHeight="1" x14ac:dyDescent="0.2">
      <c r="A41" s="1099" t="s">
        <v>258</v>
      </c>
      <c r="B41" s="359">
        <f t="shared" si="3"/>
        <v>47749.71</v>
      </c>
      <c r="C41" s="359">
        <f t="shared" si="3"/>
        <v>8013.04</v>
      </c>
      <c r="D41" s="359">
        <f t="shared" si="3"/>
        <v>38235</v>
      </c>
      <c r="E41" s="359">
        <f t="shared" si="3"/>
        <v>57196.160000000003</v>
      </c>
      <c r="F41" s="1100">
        <f t="shared" si="4"/>
        <v>87108.553223029885</v>
      </c>
      <c r="H41" s="359">
        <f t="shared" si="0"/>
        <v>0</v>
      </c>
      <c r="I41" s="359">
        <f t="shared" si="0"/>
        <v>0</v>
      </c>
      <c r="J41" s="359">
        <f t="shared" si="0"/>
        <v>0</v>
      </c>
      <c r="K41" s="359">
        <f t="shared" si="0"/>
        <v>-6466.179999999993</v>
      </c>
      <c r="L41" s="1100">
        <f t="shared" si="0"/>
        <v>23446.210375636809</v>
      </c>
      <c r="N41" s="1099" t="s">
        <v>258</v>
      </c>
      <c r="O41" s="359">
        <v>47749.71</v>
      </c>
      <c r="P41" s="359">
        <v>8013.04</v>
      </c>
      <c r="Q41" s="359">
        <v>38235</v>
      </c>
      <c r="R41" s="359">
        <v>63662.34</v>
      </c>
      <c r="S41" s="1100">
        <v>63662.342847393076</v>
      </c>
    </row>
    <row r="42" spans="1:19" ht="12.95" customHeight="1" x14ac:dyDescent="0.2">
      <c r="A42" s="1099" t="s">
        <v>278</v>
      </c>
      <c r="B42" s="359">
        <f t="shared" si="3"/>
        <v>0</v>
      </c>
      <c r="C42" s="359">
        <f t="shared" si="3"/>
        <v>0</v>
      </c>
      <c r="D42" s="359">
        <f t="shared" si="3"/>
        <v>6339.5</v>
      </c>
      <c r="E42" s="359">
        <f t="shared" si="3"/>
        <v>2044.8</v>
      </c>
      <c r="F42" s="1100">
        <f t="shared" si="4"/>
        <v>248.05948599909274</v>
      </c>
      <c r="H42" s="359">
        <f t="shared" si="0"/>
        <v>0</v>
      </c>
      <c r="I42" s="359">
        <f t="shared" si="0"/>
        <v>0</v>
      </c>
      <c r="J42" s="359">
        <f t="shared" si="0"/>
        <v>0</v>
      </c>
      <c r="K42" s="359">
        <f t="shared" si="0"/>
        <v>54.869999999999891</v>
      </c>
      <c r="L42" s="1100">
        <f t="shared" si="0"/>
        <v>-1741.875457583418</v>
      </c>
      <c r="N42" s="1099" t="s">
        <v>278</v>
      </c>
      <c r="O42" s="359">
        <v>0</v>
      </c>
      <c r="P42" s="359">
        <v>0</v>
      </c>
      <c r="Q42" s="359">
        <v>6339.5</v>
      </c>
      <c r="R42" s="359">
        <v>1989.93</v>
      </c>
      <c r="S42" s="1100">
        <v>1989.9349435825106</v>
      </c>
    </row>
    <row r="43" spans="1:19" ht="12.95" customHeight="1" x14ac:dyDescent="0.2">
      <c r="A43" s="1099" t="s">
        <v>265</v>
      </c>
      <c r="B43" s="359">
        <f t="shared" si="3"/>
        <v>0</v>
      </c>
      <c r="C43" s="359">
        <f t="shared" si="3"/>
        <v>0</v>
      </c>
      <c r="D43" s="359">
        <f t="shared" si="3"/>
        <v>878132.06</v>
      </c>
      <c r="E43" s="359">
        <f t="shared" si="3"/>
        <v>913569.14</v>
      </c>
      <c r="F43" s="1100">
        <f t="shared" si="4"/>
        <v>485971.15994209528</v>
      </c>
      <c r="H43" s="359">
        <f t="shared" si="0"/>
        <v>0</v>
      </c>
      <c r="I43" s="359">
        <f t="shared" si="0"/>
        <v>0</v>
      </c>
      <c r="J43" s="359">
        <f t="shared" si="0"/>
        <v>0</v>
      </c>
      <c r="K43" s="359">
        <f t="shared" si="0"/>
        <v>530339.63</v>
      </c>
      <c r="L43" s="1100">
        <f t="shared" si="0"/>
        <v>102741.64953826851</v>
      </c>
      <c r="N43" s="1099" t="s">
        <v>265</v>
      </c>
      <c r="O43" s="359">
        <v>0</v>
      </c>
      <c r="P43" s="359">
        <v>0</v>
      </c>
      <c r="Q43" s="359">
        <v>878132.06</v>
      </c>
      <c r="R43" s="359">
        <v>383229.51</v>
      </c>
      <c r="S43" s="1100">
        <v>383229.51040382677</v>
      </c>
    </row>
    <row r="44" spans="1:19" ht="12.95" customHeight="1" x14ac:dyDescent="0.2">
      <c r="A44" s="1099" t="s">
        <v>546</v>
      </c>
      <c r="B44" s="359">
        <f t="shared" si="3"/>
        <v>1321532.95</v>
      </c>
      <c r="C44" s="359">
        <f t="shared" si="3"/>
        <v>850277.77</v>
      </c>
      <c r="D44" s="359">
        <f t="shared" si="3"/>
        <v>0</v>
      </c>
      <c r="E44" s="359">
        <f t="shared" si="3"/>
        <v>0</v>
      </c>
      <c r="F44" s="1100">
        <v>0</v>
      </c>
      <c r="H44" s="359">
        <f t="shared" si="0"/>
        <v>0</v>
      </c>
      <c r="I44" s="359">
        <f t="shared" si="0"/>
        <v>0</v>
      </c>
      <c r="J44" s="359">
        <f t="shared" si="0"/>
        <v>0</v>
      </c>
      <c r="K44" s="359">
        <f t="shared" si="0"/>
        <v>0</v>
      </c>
      <c r="L44" s="1100">
        <f t="shared" si="0"/>
        <v>0</v>
      </c>
      <c r="N44" s="1099" t="s">
        <v>546</v>
      </c>
      <c r="O44" s="359">
        <v>1321532.95</v>
      </c>
      <c r="P44" s="359">
        <v>850277.77</v>
      </c>
      <c r="Q44" s="359">
        <v>0</v>
      </c>
      <c r="R44" s="359">
        <v>0</v>
      </c>
      <c r="S44" s="1100">
        <v>0</v>
      </c>
    </row>
    <row r="45" spans="1:19" ht="12.95" hidden="1" customHeight="1" x14ac:dyDescent="0.2">
      <c r="A45" s="1099" t="s">
        <v>260</v>
      </c>
      <c r="B45" s="359">
        <f t="shared" si="3"/>
        <v>0</v>
      </c>
      <c r="C45" s="359">
        <f t="shared" si="3"/>
        <v>0</v>
      </c>
      <c r="D45" s="359">
        <f t="shared" si="3"/>
        <v>0</v>
      </c>
      <c r="E45" s="359">
        <f t="shared" si="3"/>
        <v>0</v>
      </c>
      <c r="F45" s="1100">
        <f>F18*F32</f>
        <v>0</v>
      </c>
      <c r="H45" s="359">
        <f t="shared" si="0"/>
        <v>0</v>
      </c>
      <c r="I45" s="359">
        <f t="shared" si="0"/>
        <v>0</v>
      </c>
      <c r="J45" s="359">
        <f t="shared" si="0"/>
        <v>0</v>
      </c>
      <c r="K45" s="359">
        <f t="shared" si="0"/>
        <v>0</v>
      </c>
      <c r="L45" s="1100">
        <f t="shared" si="0"/>
        <v>0</v>
      </c>
      <c r="N45" s="1099" t="s">
        <v>260</v>
      </c>
      <c r="O45" s="359">
        <v>0</v>
      </c>
      <c r="P45" s="359">
        <v>0</v>
      </c>
      <c r="Q45" s="359">
        <v>0</v>
      </c>
      <c r="R45" s="359">
        <v>0</v>
      </c>
      <c r="S45" s="1100">
        <v>0</v>
      </c>
    </row>
    <row r="46" spans="1:19" ht="12.95" customHeight="1" x14ac:dyDescent="0.2">
      <c r="A46" s="1099" t="str">
        <f>+A33</f>
        <v>Whole Bottle Glass (CRV containers only)</v>
      </c>
      <c r="B46" s="359">
        <f t="shared" si="3"/>
        <v>269058.44</v>
      </c>
      <c r="C46" s="359">
        <f t="shared" si="3"/>
        <v>209967.01</v>
      </c>
      <c r="D46" s="359">
        <f t="shared" si="3"/>
        <v>187190</v>
      </c>
      <c r="E46" s="359">
        <f t="shared" si="3"/>
        <v>169331.22</v>
      </c>
      <c r="F46" s="1100">
        <f>F19*F33</f>
        <v>160087.73211431917</v>
      </c>
      <c r="H46" s="359">
        <f t="shared" si="0"/>
        <v>0</v>
      </c>
      <c r="I46" s="359">
        <f t="shared" si="0"/>
        <v>0</v>
      </c>
      <c r="J46" s="359">
        <f t="shared" si="0"/>
        <v>0</v>
      </c>
      <c r="K46" s="359">
        <f t="shared" si="0"/>
        <v>-12166.209999999992</v>
      </c>
      <c r="L46" s="1100">
        <f t="shared" si="0"/>
        <v>-21409.695959658129</v>
      </c>
      <c r="N46" s="1099" t="str">
        <f>+N33</f>
        <v>Whole Bottle Glass (CRV containers only)</v>
      </c>
      <c r="O46" s="359">
        <v>269058.44</v>
      </c>
      <c r="P46" s="359">
        <v>209967.01</v>
      </c>
      <c r="Q46" s="359">
        <v>187190</v>
      </c>
      <c r="R46" s="359">
        <v>181497.43</v>
      </c>
      <c r="S46" s="1100">
        <v>181497.42807397729</v>
      </c>
    </row>
    <row r="47" spans="1:19" ht="12.95" customHeight="1" x14ac:dyDescent="0.2">
      <c r="A47" s="1099" t="s">
        <v>549</v>
      </c>
      <c r="B47" s="359">
        <f>-51118.46-0.17</f>
        <v>-51118.63</v>
      </c>
      <c r="C47" s="359">
        <f>-687662.29+220618.45+0.38</f>
        <v>-467043.46</v>
      </c>
      <c r="D47" s="359">
        <f>345116-20+0.32</f>
        <v>345096.32</v>
      </c>
      <c r="E47" s="359">
        <v>0</v>
      </c>
      <c r="F47" s="359">
        <v>0</v>
      </c>
      <c r="H47" s="359">
        <f t="shared" si="0"/>
        <v>0</v>
      </c>
      <c r="I47" s="359">
        <f t="shared" si="0"/>
        <v>0</v>
      </c>
      <c r="J47" s="359">
        <f t="shared" si="0"/>
        <v>0</v>
      </c>
      <c r="K47" s="359">
        <f t="shared" si="0"/>
        <v>0</v>
      </c>
      <c r="L47" s="359">
        <f t="shared" si="0"/>
        <v>0</v>
      </c>
      <c r="N47" s="1099" t="s">
        <v>550</v>
      </c>
      <c r="O47" s="359">
        <v>-51118.63</v>
      </c>
      <c r="P47" s="359">
        <v>-467043.46</v>
      </c>
      <c r="Q47" s="359">
        <v>345096.32</v>
      </c>
      <c r="R47" s="359">
        <v>0</v>
      </c>
      <c r="S47" s="359">
        <v>0</v>
      </c>
    </row>
    <row r="48" spans="1:19" ht="3.75" customHeight="1" x14ac:dyDescent="0.2">
      <c r="A48" s="1101"/>
      <c r="B48" s="1114"/>
      <c r="C48" s="1114"/>
      <c r="D48" s="1114"/>
      <c r="E48" s="1114"/>
      <c r="F48" s="1114"/>
      <c r="H48" s="1114"/>
      <c r="I48" s="1114"/>
      <c r="J48" s="1114"/>
      <c r="K48" s="1114"/>
      <c r="L48" s="1114"/>
      <c r="N48" s="1101"/>
      <c r="O48" s="1114"/>
      <c r="P48" s="1114"/>
      <c r="Q48" s="1114"/>
      <c r="R48" s="1114"/>
      <c r="S48" s="1114"/>
    </row>
    <row r="49" spans="1:19" ht="15" customHeight="1" x14ac:dyDescent="0.2">
      <c r="A49" s="1059" t="s">
        <v>551</v>
      </c>
      <c r="B49" s="1115">
        <f t="shared" ref="B49:F49" si="5">SUM(B36:B48)</f>
        <v>6127025.0000000009</v>
      </c>
      <c r="C49" s="1115">
        <f t="shared" si="5"/>
        <v>3045786</v>
      </c>
      <c r="D49" s="1115">
        <f t="shared" si="5"/>
        <v>3927007.58</v>
      </c>
      <c r="E49" s="1115">
        <f t="shared" si="5"/>
        <v>4435349.9999999991</v>
      </c>
      <c r="F49" s="1115">
        <f t="shared" si="5"/>
        <v>4085975.9108442883</v>
      </c>
      <c r="H49" s="1115">
        <f t="shared" si="0"/>
        <v>0</v>
      </c>
      <c r="I49" s="1115">
        <f t="shared" si="0"/>
        <v>0</v>
      </c>
      <c r="J49" s="1115">
        <f t="shared" si="0"/>
        <v>0</v>
      </c>
      <c r="K49" s="1115">
        <f t="shared" si="0"/>
        <v>1106911.1299999994</v>
      </c>
      <c r="L49" s="1115">
        <f t="shared" si="0"/>
        <v>757537.03547764942</v>
      </c>
      <c r="N49" s="1105" t="s">
        <v>552</v>
      </c>
      <c r="O49" s="1115">
        <v>6127025.0000000009</v>
      </c>
      <c r="P49" s="1115">
        <v>3045786</v>
      </c>
      <c r="Q49" s="1115">
        <v>3927007.58</v>
      </c>
      <c r="R49" s="1115">
        <v>3328438.8699999996</v>
      </c>
      <c r="S49" s="1115">
        <v>3328438.8753666389</v>
      </c>
    </row>
    <row r="50" spans="1:19" ht="4.5" customHeight="1" x14ac:dyDescent="0.2">
      <c r="N50" s="1069"/>
    </row>
    <row r="51" spans="1:19" x14ac:dyDescent="0.2">
      <c r="A51" s="1116"/>
      <c r="B51" s="258"/>
      <c r="C51" s="707"/>
      <c r="D51" s="258"/>
      <c r="E51" s="258"/>
      <c r="F51" s="258"/>
    </row>
    <row r="52" spans="1:19" x14ac:dyDescent="0.2">
      <c r="C52" s="707"/>
      <c r="D52" s="984"/>
    </row>
  </sheetData>
  <mergeCells count="5">
    <mergeCell ref="H4:L5"/>
    <mergeCell ref="N4:S5"/>
    <mergeCell ref="B6:D6"/>
    <mergeCell ref="H6:J6"/>
    <mergeCell ref="O6:Q6"/>
  </mergeCells>
  <pageMargins left="1" right="0.75" top="0.75" bottom="0.5" header="0.5" footer="0.5"/>
  <pageSetup scale="83" orientation="landscape" r:id="rId1"/>
  <headerFooter>
    <oddFooter>&amp;L&amp;KFF0000Final Rate Application&amp;CPage &amp;P of &amp;N&amp;R02/10/2017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S19"/>
  <sheetViews>
    <sheetView showOutlineSymbols="0" zoomScaleNormal="100" workbookViewId="0"/>
  </sheetViews>
  <sheetFormatPr defaultRowHeight="12.75" outlineLevelRow="1" x14ac:dyDescent="0.2"/>
  <cols>
    <col min="1" max="1" width="33.140625" style="12" customWidth="1"/>
    <col min="2" max="4" width="15.140625" style="12" customWidth="1"/>
    <col min="5" max="6" width="19.7109375" style="12" customWidth="1"/>
    <col min="7" max="7" width="1.7109375" style="12" customWidth="1"/>
    <col min="8" max="10" width="15.140625" style="12" customWidth="1"/>
    <col min="11" max="11" width="12.85546875" style="12" customWidth="1"/>
    <col min="12" max="12" width="17.7109375" style="12" bestFit="1" customWidth="1"/>
    <col min="13" max="13" width="2.7109375" style="12" customWidth="1"/>
    <col min="14" max="14" width="30.85546875" style="12" bestFit="1" customWidth="1"/>
    <col min="15" max="17" width="14" style="12" customWidth="1"/>
    <col min="18" max="18" width="13.7109375" style="12" customWidth="1"/>
    <col min="19" max="19" width="17.7109375" style="12" bestFit="1" customWidth="1"/>
    <col min="20" max="16384" width="9.140625" style="12"/>
  </cols>
  <sheetData>
    <row r="1" spans="1:19" x14ac:dyDescent="0.2">
      <c r="A1" s="112" t="str">
        <f>B!$A$2</f>
        <v>Recology San Francisco</v>
      </c>
    </row>
    <row r="2" spans="1:19" x14ac:dyDescent="0.2">
      <c r="A2" s="1117" t="s">
        <v>553</v>
      </c>
    </row>
    <row r="3" spans="1:19" x14ac:dyDescent="0.2">
      <c r="A3" s="1118" t="s">
        <v>48</v>
      </c>
      <c r="L3" s="408" t="s">
        <v>97</v>
      </c>
      <c r="S3" s="408" t="s">
        <v>97</v>
      </c>
    </row>
    <row r="4" spans="1:19" ht="12.75" customHeight="1" x14ac:dyDescent="0.2">
      <c r="A4" s="349"/>
      <c r="L4" s="994">
        <f>+D!$G$5</f>
        <v>0.03</v>
      </c>
      <c r="S4" s="994">
        <f>+D!$G$5</f>
        <v>0.03</v>
      </c>
    </row>
    <row r="5" spans="1:19" ht="12.75" customHeight="1" x14ac:dyDescent="0.2">
      <c r="A5" s="760"/>
      <c r="F5" s="408" t="s">
        <v>97</v>
      </c>
      <c r="H5" s="1522" t="s">
        <v>74</v>
      </c>
      <c r="I5" s="1596"/>
      <c r="J5" s="1596"/>
      <c r="K5" s="1596"/>
      <c r="L5" s="1524"/>
      <c r="M5" s="867"/>
      <c r="N5" s="1497" t="s">
        <v>75</v>
      </c>
      <c r="O5" s="1600"/>
      <c r="P5" s="1600"/>
      <c r="Q5" s="1600"/>
      <c r="R5" s="1600"/>
      <c r="S5" s="1499"/>
    </row>
    <row r="6" spans="1:19" ht="17.25" customHeight="1" x14ac:dyDescent="0.2">
      <c r="A6" s="992"/>
      <c r="B6" s="992"/>
      <c r="C6" s="992"/>
      <c r="D6" s="992"/>
      <c r="E6" s="992"/>
      <c r="F6" s="994">
        <f>+D!$G$5</f>
        <v>0.03</v>
      </c>
      <c r="H6" s="1531"/>
      <c r="I6" s="1598"/>
      <c r="J6" s="1598"/>
      <c r="K6" s="1598"/>
      <c r="L6" s="1599"/>
      <c r="M6" s="867"/>
      <c r="N6" s="1500"/>
      <c r="O6" s="1601"/>
      <c r="P6" s="1601"/>
      <c r="Q6" s="1601"/>
      <c r="R6" s="1601"/>
      <c r="S6" s="1602"/>
    </row>
    <row r="7" spans="1:19" ht="16.5" customHeight="1" x14ac:dyDescent="0.25">
      <c r="B7" s="1588" t="s">
        <v>207</v>
      </c>
      <c r="C7" s="1589"/>
      <c r="D7" s="1590"/>
      <c r="E7" s="1046" t="s">
        <v>208</v>
      </c>
      <c r="F7" s="927" t="s">
        <v>209</v>
      </c>
      <c r="H7" s="1585" t="s">
        <v>207</v>
      </c>
      <c r="I7" s="1586"/>
      <c r="J7" s="1587"/>
      <c r="K7" s="909" t="s">
        <v>208</v>
      </c>
      <c r="L7" s="910" t="s">
        <v>209</v>
      </c>
      <c r="N7" s="1093"/>
      <c r="O7" s="1585" t="s">
        <v>207</v>
      </c>
      <c r="P7" s="1586"/>
      <c r="Q7" s="1587"/>
      <c r="R7" s="909" t="s">
        <v>208</v>
      </c>
      <c r="S7" s="910" t="s">
        <v>209</v>
      </c>
    </row>
    <row r="8" spans="1:19" ht="16.5" customHeight="1" x14ac:dyDescent="0.25">
      <c r="A8" s="335" t="s">
        <v>554</v>
      </c>
      <c r="B8" s="931" t="s">
        <v>102</v>
      </c>
      <c r="C8" s="931" t="s">
        <v>103</v>
      </c>
      <c r="D8" s="931" t="s">
        <v>104</v>
      </c>
      <c r="E8" s="933" t="s">
        <v>99</v>
      </c>
      <c r="F8" s="934" t="s">
        <v>69</v>
      </c>
      <c r="H8" s="912" t="s">
        <v>102</v>
      </c>
      <c r="I8" s="912" t="s">
        <v>103</v>
      </c>
      <c r="J8" s="912" t="s">
        <v>104</v>
      </c>
      <c r="K8" s="913" t="s">
        <v>99</v>
      </c>
      <c r="L8" s="914" t="s">
        <v>69</v>
      </c>
      <c r="N8" s="346" t="s">
        <v>554</v>
      </c>
      <c r="O8" s="912" t="s">
        <v>102</v>
      </c>
      <c r="P8" s="912" t="s">
        <v>103</v>
      </c>
      <c r="Q8" s="912" t="s">
        <v>104</v>
      </c>
      <c r="R8" s="913" t="s">
        <v>99</v>
      </c>
      <c r="S8" s="914" t="s">
        <v>69</v>
      </c>
    </row>
    <row r="9" spans="1:19" ht="15" customHeight="1" x14ac:dyDescent="0.2">
      <c r="A9" s="327" t="s">
        <v>555</v>
      </c>
      <c r="B9" s="1119">
        <f t="shared" ref="B9:E9" si="0">B11/B10</f>
        <v>224.68338441330997</v>
      </c>
      <c r="C9" s="1119">
        <f t="shared" si="0"/>
        <v>237.41763201515511</v>
      </c>
      <c r="D9" s="1119">
        <f t="shared" si="0"/>
        <v>306.91328683522238</v>
      </c>
      <c r="E9" s="1120">
        <f t="shared" si="0"/>
        <v>330.95900227634877</v>
      </c>
      <c r="F9" s="1120">
        <f>E9*(1+F6)</f>
        <v>340.88777234463925</v>
      </c>
      <c r="H9" s="1119">
        <f>IFERROR(B9-O9,"")</f>
        <v>0</v>
      </c>
      <c r="I9" s="1119">
        <f>IFERROR(C9-P9,"")</f>
        <v>0</v>
      </c>
      <c r="J9" s="1119">
        <f>IFERROR(D9-Q9,"")</f>
        <v>0</v>
      </c>
      <c r="K9" s="1120">
        <f>IFERROR(E9-R9,"")</f>
        <v>0</v>
      </c>
      <c r="L9" s="1120">
        <f>IFERROR(F9-S9,"")</f>
        <v>0</v>
      </c>
      <c r="N9" s="327" t="s">
        <v>556</v>
      </c>
      <c r="O9" s="1119">
        <v>224.68338441330997</v>
      </c>
      <c r="P9" s="1119">
        <v>237.41763201515511</v>
      </c>
      <c r="Q9" s="1119">
        <v>306.91328683522238</v>
      </c>
      <c r="R9" s="1120">
        <v>330.95900227634877</v>
      </c>
      <c r="S9" s="1120">
        <v>340.88777234463925</v>
      </c>
    </row>
    <row r="10" spans="1:19" ht="15" customHeight="1" x14ac:dyDescent="0.2">
      <c r="A10" s="1121" t="s">
        <v>557</v>
      </c>
      <c r="B10" s="341">
        <v>4568</v>
      </c>
      <c r="C10" s="341">
        <v>4223</v>
      </c>
      <c r="D10" s="144">
        <v>4588</v>
      </c>
      <c r="E10" s="144">
        <v>4592.0031168422656</v>
      </c>
      <c r="F10" s="144">
        <v>4700.8002290969271</v>
      </c>
      <c r="H10" s="341">
        <f t="shared" ref="H10:L16" si="1">IFERROR(B10-O10,"")</f>
        <v>0</v>
      </c>
      <c r="I10" s="341">
        <f t="shared" si="1"/>
        <v>0</v>
      </c>
      <c r="J10" s="144">
        <f t="shared" si="1"/>
        <v>0</v>
      </c>
      <c r="K10" s="144">
        <f t="shared" si="1"/>
        <v>0</v>
      </c>
      <c r="L10" s="144">
        <f t="shared" si="1"/>
        <v>0</v>
      </c>
      <c r="N10" s="1121" t="s">
        <v>557</v>
      </c>
      <c r="O10" s="341">
        <v>4568</v>
      </c>
      <c r="P10" s="341">
        <v>4223</v>
      </c>
      <c r="Q10" s="144">
        <v>4588</v>
      </c>
      <c r="R10" s="144">
        <v>4592.0031168422656</v>
      </c>
      <c r="S10" s="144">
        <v>4700.8002290969271</v>
      </c>
    </row>
    <row r="11" spans="1:19" ht="15.75" customHeight="1" x14ac:dyDescent="0.2">
      <c r="A11" s="1122" t="s">
        <v>558</v>
      </c>
      <c r="B11" s="1123">
        <v>1026353.7</v>
      </c>
      <c r="C11" s="1123">
        <v>1002614.66</v>
      </c>
      <c r="D11" s="1124">
        <v>1408118.1600000001</v>
      </c>
      <c r="E11" s="1124">
        <v>1519764.77</v>
      </c>
      <c r="F11" s="1124">
        <v>1602445.3183340214</v>
      </c>
      <c r="H11" s="1123">
        <f t="shared" si="1"/>
        <v>0</v>
      </c>
      <c r="I11" s="1123">
        <f t="shared" si="1"/>
        <v>0</v>
      </c>
      <c r="J11" s="1124">
        <f t="shared" si="1"/>
        <v>0</v>
      </c>
      <c r="K11" s="1124">
        <f t="shared" si="1"/>
        <v>0</v>
      </c>
      <c r="L11" s="1124">
        <f t="shared" si="1"/>
        <v>0</v>
      </c>
      <c r="N11" s="1122" t="s">
        <v>559</v>
      </c>
      <c r="O11" s="1123">
        <v>1026353.7</v>
      </c>
      <c r="P11" s="1123">
        <v>1002614.66</v>
      </c>
      <c r="Q11" s="1124">
        <v>1408118.1600000001</v>
      </c>
      <c r="R11" s="1124">
        <v>1519764.77</v>
      </c>
      <c r="S11" s="1124">
        <v>1602445.3183340214</v>
      </c>
    </row>
    <row r="12" spans="1:19" ht="12.75" customHeight="1" x14ac:dyDescent="0.2">
      <c r="A12" s="327"/>
      <c r="B12" s="341"/>
      <c r="C12" s="341"/>
      <c r="D12" s="341"/>
      <c r="E12" s="144"/>
      <c r="F12" s="144"/>
      <c r="H12" s="341"/>
      <c r="I12" s="341"/>
      <c r="J12" s="341"/>
      <c r="K12" s="144"/>
      <c r="L12" s="144"/>
      <c r="N12" s="327"/>
      <c r="O12" s="341"/>
      <c r="P12" s="341"/>
      <c r="Q12" s="341"/>
      <c r="R12" s="144"/>
      <c r="S12" s="144"/>
    </row>
    <row r="13" spans="1:19" ht="15" customHeight="1" x14ac:dyDescent="0.2">
      <c r="A13" s="1125" t="s">
        <v>560</v>
      </c>
      <c r="B13" s="882">
        <v>13825</v>
      </c>
      <c r="C13" s="882">
        <v>8596</v>
      </c>
      <c r="D13" s="882">
        <v>33541</v>
      </c>
      <c r="E13" s="1126">
        <v>34547.230000000003</v>
      </c>
      <c r="F13" s="1126">
        <f>+E13*(1+$F$6)</f>
        <v>35583.646900000007</v>
      </c>
      <c r="H13" s="882">
        <f t="shared" si="1"/>
        <v>0</v>
      </c>
      <c r="I13" s="882">
        <f t="shared" si="1"/>
        <v>0</v>
      </c>
      <c r="J13" s="882">
        <f t="shared" si="1"/>
        <v>0</v>
      </c>
      <c r="K13" s="1126">
        <f t="shared" si="1"/>
        <v>0</v>
      </c>
      <c r="L13" s="1126">
        <f t="shared" si="1"/>
        <v>0</v>
      </c>
      <c r="N13" s="1125" t="s">
        <v>561</v>
      </c>
      <c r="O13" s="882">
        <v>13825</v>
      </c>
      <c r="P13" s="882">
        <v>8596</v>
      </c>
      <c r="Q13" s="882">
        <v>33541</v>
      </c>
      <c r="R13" s="1126">
        <v>34547.230000000003</v>
      </c>
      <c r="S13" s="1126">
        <v>35583.646900000007</v>
      </c>
    </row>
    <row r="14" spans="1:19" ht="15" customHeight="1" x14ac:dyDescent="0.2">
      <c r="A14" s="1125" t="s">
        <v>562</v>
      </c>
      <c r="B14" s="882">
        <v>43870.27</v>
      </c>
      <c r="C14" s="882">
        <v>55074</v>
      </c>
      <c r="D14" s="882">
        <v>71434.22</v>
      </c>
      <c r="E14" s="1126">
        <v>71700</v>
      </c>
      <c r="F14" s="1126">
        <f>+E14*(1+$F$6)</f>
        <v>73851</v>
      </c>
      <c r="H14" s="882">
        <f t="shared" si="1"/>
        <v>0</v>
      </c>
      <c r="I14" s="882">
        <f t="shared" si="1"/>
        <v>0</v>
      </c>
      <c r="J14" s="882">
        <f t="shared" si="1"/>
        <v>0</v>
      </c>
      <c r="K14" s="1126">
        <f t="shared" si="1"/>
        <v>0</v>
      </c>
      <c r="L14" s="1126">
        <f t="shared" si="1"/>
        <v>0</v>
      </c>
      <c r="N14" s="1125" t="s">
        <v>562</v>
      </c>
      <c r="O14" s="882">
        <v>43870.27</v>
      </c>
      <c r="P14" s="882">
        <v>55074</v>
      </c>
      <c r="Q14" s="882">
        <v>71434.22</v>
      </c>
      <c r="R14" s="1126">
        <v>71700</v>
      </c>
      <c r="S14" s="1126">
        <v>73851</v>
      </c>
    </row>
    <row r="15" spans="1:19" ht="5.0999999999999996" customHeight="1" x14ac:dyDescent="0.2">
      <c r="A15" s="901"/>
      <c r="B15" s="1079"/>
      <c r="C15" s="1079"/>
      <c r="D15" s="1079"/>
      <c r="E15" s="1127"/>
      <c r="F15" s="1127"/>
      <c r="H15" s="1079"/>
      <c r="I15" s="1079"/>
      <c r="J15" s="1079"/>
      <c r="K15" s="1127"/>
      <c r="L15" s="1127"/>
      <c r="N15" s="901"/>
      <c r="O15" s="1079"/>
      <c r="P15" s="1079"/>
      <c r="Q15" s="1079"/>
      <c r="R15" s="1127"/>
      <c r="S15" s="1127"/>
    </row>
    <row r="16" spans="1:19" x14ac:dyDescent="0.2">
      <c r="A16" s="346" t="s">
        <v>563</v>
      </c>
      <c r="B16" s="316">
        <f t="shared" ref="B16:F16" si="2">SUM(B11:B15)</f>
        <v>1084048.97</v>
      </c>
      <c r="C16" s="316">
        <f t="shared" si="2"/>
        <v>1066284.6600000001</v>
      </c>
      <c r="D16" s="316">
        <f t="shared" si="2"/>
        <v>1513093.3800000001</v>
      </c>
      <c r="E16" s="77">
        <f t="shared" si="2"/>
        <v>1626012</v>
      </c>
      <c r="F16" s="77">
        <f t="shared" si="2"/>
        <v>1711879.9652340214</v>
      </c>
      <c r="H16" s="316">
        <f t="shared" si="1"/>
        <v>0</v>
      </c>
      <c r="I16" s="316">
        <f t="shared" si="1"/>
        <v>0</v>
      </c>
      <c r="J16" s="316">
        <f t="shared" si="1"/>
        <v>0</v>
      </c>
      <c r="K16" s="77">
        <f t="shared" si="1"/>
        <v>0</v>
      </c>
      <c r="L16" s="77">
        <f t="shared" si="1"/>
        <v>0</v>
      </c>
      <c r="N16" s="346" t="s">
        <v>563</v>
      </c>
      <c r="O16" s="316">
        <v>1084048.97</v>
      </c>
      <c r="P16" s="316">
        <v>1066284.6600000001</v>
      </c>
      <c r="Q16" s="316">
        <v>1513093.3800000001</v>
      </c>
      <c r="R16" s="77">
        <v>1626012</v>
      </c>
      <c r="S16" s="77">
        <v>1711879.9652340214</v>
      </c>
    </row>
    <row r="17" spans="1:19" x14ac:dyDescent="0.2">
      <c r="E17" s="28"/>
      <c r="K17" s="28"/>
      <c r="R17" s="28"/>
    </row>
    <row r="18" spans="1:19" hidden="1" outlineLevel="1" x14ac:dyDescent="0.2">
      <c r="A18" s="29" t="s">
        <v>49</v>
      </c>
      <c r="B18" s="258"/>
      <c r="C18" s="258"/>
      <c r="D18" s="258"/>
      <c r="E18" s="258">
        <f>SUMIFS(D!F:F,D!$B:$B,$A18)-E16</f>
        <v>0</v>
      </c>
      <c r="F18" s="258">
        <f>SUMIFS(D!G:G,D!$B:$B,$A18)-F16</f>
        <v>0</v>
      </c>
      <c r="H18" s="258"/>
      <c r="I18" s="258"/>
      <c r="J18" s="258"/>
      <c r="K18" s="258"/>
      <c r="L18" s="258"/>
      <c r="N18" s="29" t="s">
        <v>49</v>
      </c>
      <c r="O18" s="258"/>
      <c r="P18" s="258"/>
      <c r="Q18" s="258"/>
      <c r="R18" s="258">
        <v>0</v>
      </c>
      <c r="S18" s="258">
        <v>0</v>
      </c>
    </row>
    <row r="19" spans="1:19" collapsed="1" x14ac:dyDescent="0.2">
      <c r="B19" s="703"/>
      <c r="C19" s="703"/>
      <c r="D19" s="703"/>
      <c r="E19" s="703"/>
      <c r="H19" s="703"/>
      <c r="I19" s="703"/>
      <c r="J19" s="703"/>
      <c r="K19" s="703"/>
      <c r="O19" s="703"/>
      <c r="P19" s="703"/>
      <c r="Q19" s="703"/>
      <c r="R19" s="703"/>
    </row>
  </sheetData>
  <mergeCells count="5">
    <mergeCell ref="H5:L6"/>
    <mergeCell ref="N5:S6"/>
    <mergeCell ref="B7:D7"/>
    <mergeCell ref="H7:J7"/>
    <mergeCell ref="O7:Q7"/>
  </mergeCells>
  <pageMargins left="1" right="0.75" top="0.75" bottom="0.5" header="0.5" footer="0.5"/>
  <pageSetup orientation="landscape" r:id="rId1"/>
  <headerFooter>
    <oddFooter>&amp;L&amp;KFF0000Final Rate Application&amp;CPage &amp;P of &amp;N&amp;R02/10/2017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</sheetPr>
  <dimension ref="A1:AD55"/>
  <sheetViews>
    <sheetView showOutlineSymbols="0" zoomScaleNormal="100" workbookViewId="0"/>
  </sheetViews>
  <sheetFormatPr defaultRowHeight="12.75" outlineLevelCol="1" x14ac:dyDescent="0.2"/>
  <cols>
    <col min="1" max="1" width="42.28515625" style="121" customWidth="1"/>
    <col min="2" max="4" width="18.5703125" style="258" customWidth="1"/>
    <col min="5" max="6" width="18.5703125" style="121" customWidth="1"/>
    <col min="7" max="7" width="1.7109375" style="121" customWidth="1"/>
    <col min="8" max="10" width="13.7109375" style="121" customWidth="1"/>
    <col min="11" max="11" width="14.42578125" style="121" customWidth="1"/>
    <col min="12" max="12" width="17.7109375" style="121" bestFit="1" customWidth="1"/>
    <col min="13" max="13" width="1.7109375" style="121" customWidth="1"/>
    <col min="14" max="14" width="23.7109375" style="121" bestFit="1" customWidth="1"/>
    <col min="15" max="17" width="14.28515625" style="121" customWidth="1"/>
    <col min="18" max="18" width="14.42578125" style="121" customWidth="1"/>
    <col min="19" max="19" width="17.7109375" style="121" bestFit="1" customWidth="1"/>
    <col min="20" max="25" width="29.140625" style="121" customWidth="1"/>
    <col min="26" max="26" width="9.140625" style="121" customWidth="1"/>
    <col min="27" max="27" width="52.42578125" style="121" customWidth="1" outlineLevel="1"/>
    <col min="28" max="29" width="12.85546875" style="121" customWidth="1" outlineLevel="1"/>
    <col min="30" max="30" width="2.28515625" style="121" customWidth="1" outlineLevel="1"/>
    <col min="31" max="16384" width="9.140625" style="121"/>
  </cols>
  <sheetData>
    <row r="1" spans="1:30" x14ac:dyDescent="0.2">
      <c r="A1" s="1129" t="str">
        <f>B!A2</f>
        <v>Recology San Francisco</v>
      </c>
      <c r="Z1" s="1130"/>
    </row>
    <row r="2" spans="1:30" x14ac:dyDescent="0.2">
      <c r="A2" s="1117" t="s">
        <v>564</v>
      </c>
    </row>
    <row r="3" spans="1:30" x14ac:dyDescent="0.2">
      <c r="A3" s="1131" t="s">
        <v>50</v>
      </c>
      <c r="L3" s="1132" t="s">
        <v>97</v>
      </c>
      <c r="S3" s="1132" t="s">
        <v>97</v>
      </c>
    </row>
    <row r="4" spans="1:30" ht="14.25" customHeight="1" x14ac:dyDescent="0.2">
      <c r="A4" s="1133"/>
      <c r="L4" s="1134">
        <f>+D!$G$5</f>
        <v>0.03</v>
      </c>
      <c r="S4" s="1134">
        <f>+D!$G$5</f>
        <v>0.03</v>
      </c>
    </row>
    <row r="5" spans="1:30" ht="14.25" customHeight="1" x14ac:dyDescent="0.2">
      <c r="A5" s="1133"/>
      <c r="F5" s="1132" t="s">
        <v>97</v>
      </c>
      <c r="H5" s="1522" t="s">
        <v>74</v>
      </c>
      <c r="I5" s="1596"/>
      <c r="J5" s="1596"/>
      <c r="K5" s="1596"/>
      <c r="L5" s="1524"/>
      <c r="M5" s="867"/>
      <c r="N5" s="1497" t="s">
        <v>75</v>
      </c>
      <c r="O5" s="1600"/>
      <c r="P5" s="1600"/>
      <c r="Q5" s="1600"/>
      <c r="R5" s="1600"/>
      <c r="S5" s="1499"/>
    </row>
    <row r="6" spans="1:30" ht="18" customHeight="1" x14ac:dyDescent="0.2">
      <c r="A6" s="1135"/>
      <c r="E6" s="1137"/>
      <c r="F6" s="1134">
        <f>+D!$G$5</f>
        <v>0.03</v>
      </c>
      <c r="H6" s="1531"/>
      <c r="I6" s="1598"/>
      <c r="J6" s="1598"/>
      <c r="K6" s="1598"/>
      <c r="L6" s="1599"/>
      <c r="M6" s="867"/>
      <c r="N6" s="1500"/>
      <c r="O6" s="1601"/>
      <c r="P6" s="1601"/>
      <c r="Q6" s="1601"/>
      <c r="R6" s="1601"/>
      <c r="S6" s="1602"/>
    </row>
    <row r="7" spans="1:30" ht="18" customHeight="1" x14ac:dyDescent="0.25">
      <c r="A7" s="1138"/>
      <c r="B7" s="1588" t="s">
        <v>207</v>
      </c>
      <c r="C7" s="1589"/>
      <c r="D7" s="1590"/>
      <c r="E7" s="1046" t="s">
        <v>208</v>
      </c>
      <c r="F7" s="927" t="s">
        <v>209</v>
      </c>
      <c r="H7" s="1585" t="s">
        <v>207</v>
      </c>
      <c r="I7" s="1586"/>
      <c r="J7" s="1587"/>
      <c r="K7" s="909" t="s">
        <v>208</v>
      </c>
      <c r="L7" s="910" t="s">
        <v>209</v>
      </c>
      <c r="M7" s="12"/>
      <c r="N7" s="1093"/>
      <c r="O7" s="1585" t="s">
        <v>207</v>
      </c>
      <c r="P7" s="1586"/>
      <c r="Q7" s="1587"/>
      <c r="R7" s="909" t="s">
        <v>208</v>
      </c>
      <c r="S7" s="910" t="s">
        <v>209</v>
      </c>
    </row>
    <row r="8" spans="1:30" ht="18" customHeight="1" x14ac:dyDescent="0.25">
      <c r="A8" s="1139" t="s">
        <v>565</v>
      </c>
      <c r="B8" s="931" t="s">
        <v>102</v>
      </c>
      <c r="C8" s="931" t="s">
        <v>103</v>
      </c>
      <c r="D8" s="931" t="s">
        <v>104</v>
      </c>
      <c r="E8" s="933" t="s">
        <v>99</v>
      </c>
      <c r="F8" s="934" t="s">
        <v>69</v>
      </c>
      <c r="H8" s="912" t="s">
        <v>102</v>
      </c>
      <c r="I8" s="912" t="s">
        <v>103</v>
      </c>
      <c r="J8" s="912" t="s">
        <v>104</v>
      </c>
      <c r="K8" s="913" t="s">
        <v>99</v>
      </c>
      <c r="L8" s="914" t="s">
        <v>69</v>
      </c>
      <c r="M8" s="12"/>
      <c r="N8" s="1140" t="s">
        <v>565</v>
      </c>
      <c r="O8" s="912" t="s">
        <v>102</v>
      </c>
      <c r="P8" s="912" t="s">
        <v>103</v>
      </c>
      <c r="Q8" s="912" t="s">
        <v>104</v>
      </c>
      <c r="R8" s="913" t="s">
        <v>99</v>
      </c>
      <c r="S8" s="914" t="s">
        <v>69</v>
      </c>
      <c r="AB8" s="1141" t="s">
        <v>566</v>
      </c>
      <c r="AC8" s="1141" t="s">
        <v>567</v>
      </c>
      <c r="AD8" s="1142"/>
    </row>
    <row r="9" spans="1:30" x14ac:dyDescent="0.2">
      <c r="A9" s="212"/>
      <c r="B9" s="1079"/>
      <c r="C9" s="1079"/>
      <c r="D9" s="1079"/>
      <c r="E9" s="1143"/>
      <c r="F9" s="1143"/>
      <c r="H9" s="258"/>
      <c r="I9" s="258"/>
      <c r="J9" s="258"/>
      <c r="O9" s="258"/>
      <c r="P9" s="258"/>
      <c r="Q9" s="258"/>
    </row>
    <row r="10" spans="1:30" ht="17.25" customHeight="1" x14ac:dyDescent="0.2">
      <c r="A10" s="1144" t="s">
        <v>83</v>
      </c>
      <c r="B10" s="1128"/>
      <c r="C10" s="1128"/>
      <c r="D10" s="1128"/>
      <c r="E10" s="1145"/>
      <c r="F10" s="1145"/>
      <c r="H10" s="1146"/>
      <c r="I10" s="659"/>
      <c r="J10" s="659"/>
      <c r="K10" s="658"/>
      <c r="L10" s="1147"/>
      <c r="N10" s="1144" t="s">
        <v>83</v>
      </c>
      <c r="O10" s="659"/>
      <c r="P10" s="659"/>
      <c r="Q10" s="659"/>
      <c r="R10" s="658"/>
      <c r="S10" s="1147"/>
    </row>
    <row r="11" spans="1:30" x14ac:dyDescent="0.2">
      <c r="A11" s="1148" t="s">
        <v>315</v>
      </c>
      <c r="B11" s="1149">
        <v>148215.82</v>
      </c>
      <c r="C11" s="1149">
        <v>179907.46</v>
      </c>
      <c r="D11" s="1149">
        <v>180738.80999999997</v>
      </c>
      <c r="E11" s="1149">
        <v>185256</v>
      </c>
      <c r="F11" s="1149">
        <f>ROUND(E11*(1+$F$6),2)</f>
        <v>190813.68</v>
      </c>
      <c r="H11" s="1149">
        <f>IFERROR(B11-O11,"")</f>
        <v>0</v>
      </c>
      <c r="I11" s="1149">
        <f>IFERROR(C11-P11,"")</f>
        <v>0</v>
      </c>
      <c r="J11" s="1149">
        <f>IFERROR(D11-Q11,"")</f>
        <v>0</v>
      </c>
      <c r="K11" s="1149">
        <f>IFERROR(E11-R11,"")</f>
        <v>0</v>
      </c>
      <c r="L11" s="1149">
        <f>IFERROR(F11-S11,"")</f>
        <v>0</v>
      </c>
      <c r="M11" s="1151"/>
      <c r="N11" s="1148" t="s">
        <v>315</v>
      </c>
      <c r="O11" s="1149">
        <v>148215.82</v>
      </c>
      <c r="P11" s="1149">
        <v>179907.46</v>
      </c>
      <c r="Q11" s="1149">
        <v>180738.80999999997</v>
      </c>
      <c r="R11" s="1149">
        <v>185256</v>
      </c>
      <c r="S11" s="1149">
        <v>190813.68</v>
      </c>
      <c r="T11" s="1151"/>
      <c r="U11" s="1151"/>
      <c r="V11" s="1151"/>
      <c r="W11" s="1151"/>
      <c r="X11" s="1151"/>
      <c r="Y11" s="1151"/>
      <c r="AB11" s="1130">
        <f>+E11/D11-1</f>
        <v>2.4992916573922441E-2</v>
      </c>
      <c r="AC11" s="1130">
        <f>+F11/E11-1</f>
        <v>3.0000000000000027E-2</v>
      </c>
      <c r="AD11" s="1130"/>
    </row>
    <row r="12" spans="1:30" x14ac:dyDescent="0.2">
      <c r="A12" s="1152" t="s">
        <v>568</v>
      </c>
      <c r="B12" s="341">
        <v>18048.599999999999</v>
      </c>
      <c r="C12" s="341">
        <v>18081</v>
      </c>
      <c r="D12" s="341">
        <v>12845.95</v>
      </c>
      <c r="E12" s="341">
        <v>13164</v>
      </c>
      <c r="F12" s="341">
        <f t="shared" ref="F12:F18" si="0">ROUND(E12*(1+$F$6),2)</f>
        <v>13558.92</v>
      </c>
      <c r="H12" s="341">
        <f t="shared" ref="H12:L45" si="1">IFERROR(B12-O12,"")</f>
        <v>0</v>
      </c>
      <c r="I12" s="341">
        <f t="shared" si="1"/>
        <v>0</v>
      </c>
      <c r="J12" s="341">
        <f t="shared" si="1"/>
        <v>0</v>
      </c>
      <c r="K12" s="341">
        <f t="shared" si="1"/>
        <v>0</v>
      </c>
      <c r="L12" s="341">
        <f t="shared" si="1"/>
        <v>0</v>
      </c>
      <c r="M12" s="1151"/>
      <c r="N12" s="577" t="s">
        <v>569</v>
      </c>
      <c r="O12" s="341">
        <v>18048.599999999999</v>
      </c>
      <c r="P12" s="341">
        <v>18081</v>
      </c>
      <c r="Q12" s="341">
        <v>12845.95</v>
      </c>
      <c r="R12" s="341">
        <v>13164</v>
      </c>
      <c r="S12" s="341">
        <v>13558.92</v>
      </c>
      <c r="T12" s="1151"/>
      <c r="U12" s="1151"/>
      <c r="V12" s="1151"/>
      <c r="W12" s="1151"/>
      <c r="X12" s="1151"/>
      <c r="Y12" s="1151"/>
      <c r="AB12" s="1130">
        <f t="shared" ref="AB12:AC18" si="2">+E12/D12-1</f>
        <v>2.4758776112315584E-2</v>
      </c>
      <c r="AC12" s="1130">
        <f t="shared" si="2"/>
        <v>3.0000000000000027E-2</v>
      </c>
      <c r="AD12" s="1130"/>
    </row>
    <row r="13" spans="1:30" x14ac:dyDescent="0.2">
      <c r="A13" s="577" t="s">
        <v>256</v>
      </c>
      <c r="B13" s="341">
        <v>47236.800000000003</v>
      </c>
      <c r="C13" s="341">
        <v>47488.52</v>
      </c>
      <c r="D13" s="341">
        <v>49369.639999999985</v>
      </c>
      <c r="E13" s="341">
        <v>50604</v>
      </c>
      <c r="F13" s="341">
        <f t="shared" si="0"/>
        <v>52122.12</v>
      </c>
      <c r="H13" s="341">
        <f t="shared" si="1"/>
        <v>0</v>
      </c>
      <c r="I13" s="341">
        <f t="shared" si="1"/>
        <v>0</v>
      </c>
      <c r="J13" s="341">
        <f t="shared" si="1"/>
        <v>0</v>
      </c>
      <c r="K13" s="341">
        <f t="shared" si="1"/>
        <v>0</v>
      </c>
      <c r="L13" s="341">
        <f t="shared" si="1"/>
        <v>0</v>
      </c>
      <c r="M13" s="1151"/>
      <c r="N13" s="577" t="s">
        <v>256</v>
      </c>
      <c r="O13" s="341">
        <v>47236.800000000003</v>
      </c>
      <c r="P13" s="341">
        <v>47488.52</v>
      </c>
      <c r="Q13" s="341">
        <v>49369.639999999985</v>
      </c>
      <c r="R13" s="341">
        <v>50604</v>
      </c>
      <c r="S13" s="341">
        <v>52122.12</v>
      </c>
      <c r="T13" s="1151"/>
      <c r="U13" s="1151"/>
      <c r="V13" s="1151"/>
      <c r="W13" s="1151"/>
      <c r="X13" s="1151"/>
      <c r="Y13" s="1151"/>
      <c r="AB13" s="1130">
        <f t="shared" si="2"/>
        <v>2.500241038824691E-2</v>
      </c>
      <c r="AC13" s="1130">
        <f t="shared" si="2"/>
        <v>3.0000000000000027E-2</v>
      </c>
      <c r="AD13" s="1130"/>
    </row>
    <row r="14" spans="1:30" x14ac:dyDescent="0.2">
      <c r="A14" s="577" t="s">
        <v>317</v>
      </c>
      <c r="B14" s="341">
        <v>9091.86</v>
      </c>
      <c r="C14" s="341">
        <v>7038.02</v>
      </c>
      <c r="D14" s="341">
        <v>4282.67</v>
      </c>
      <c r="E14" s="341">
        <v>4392</v>
      </c>
      <c r="F14" s="341">
        <f t="shared" si="0"/>
        <v>4523.76</v>
      </c>
      <c r="H14" s="341">
        <f t="shared" si="1"/>
        <v>0</v>
      </c>
      <c r="I14" s="341">
        <f t="shared" si="1"/>
        <v>0</v>
      </c>
      <c r="J14" s="341">
        <f t="shared" si="1"/>
        <v>0</v>
      </c>
      <c r="K14" s="341">
        <f t="shared" si="1"/>
        <v>0</v>
      </c>
      <c r="L14" s="341">
        <f t="shared" si="1"/>
        <v>0</v>
      </c>
      <c r="M14" s="1151"/>
      <c r="N14" s="577" t="s">
        <v>318</v>
      </c>
      <c r="O14" s="341">
        <v>9091.86</v>
      </c>
      <c r="P14" s="341">
        <v>7038.02</v>
      </c>
      <c r="Q14" s="341">
        <v>4282.67</v>
      </c>
      <c r="R14" s="341">
        <v>4392</v>
      </c>
      <c r="S14" s="341">
        <v>4523.76</v>
      </c>
      <c r="T14" s="1151"/>
      <c r="U14" s="1151"/>
      <c r="V14" s="1151"/>
      <c r="W14" s="1151"/>
      <c r="X14" s="1151"/>
      <c r="Y14" s="1151"/>
      <c r="AB14" s="1130">
        <f t="shared" si="2"/>
        <v>2.5528467054430903E-2</v>
      </c>
      <c r="AC14" s="1130">
        <f t="shared" si="2"/>
        <v>3.0000000000000027E-2</v>
      </c>
      <c r="AD14" s="1130"/>
    </row>
    <row r="15" spans="1:30" x14ac:dyDescent="0.2">
      <c r="A15" s="577" t="s">
        <v>201</v>
      </c>
      <c r="B15" s="341">
        <v>3801</v>
      </c>
      <c r="C15" s="341">
        <v>3389</v>
      </c>
      <c r="D15" s="341">
        <v>5545</v>
      </c>
      <c r="E15" s="341">
        <v>5688</v>
      </c>
      <c r="F15" s="341">
        <f t="shared" si="0"/>
        <v>5858.64</v>
      </c>
      <c r="H15" s="341">
        <f t="shared" si="1"/>
        <v>0</v>
      </c>
      <c r="I15" s="341">
        <f t="shared" si="1"/>
        <v>0</v>
      </c>
      <c r="J15" s="341">
        <f t="shared" si="1"/>
        <v>0</v>
      </c>
      <c r="K15" s="341">
        <f t="shared" si="1"/>
        <v>0</v>
      </c>
      <c r="L15" s="341">
        <f t="shared" si="1"/>
        <v>0</v>
      </c>
      <c r="M15" s="1151"/>
      <c r="N15" s="577" t="s">
        <v>201</v>
      </c>
      <c r="O15" s="341">
        <v>3801</v>
      </c>
      <c r="P15" s="341">
        <v>3389</v>
      </c>
      <c r="Q15" s="341">
        <v>5545</v>
      </c>
      <c r="R15" s="341">
        <v>5688</v>
      </c>
      <c r="S15" s="341">
        <v>5858.64</v>
      </c>
      <c r="T15" s="1151"/>
      <c r="U15" s="1151"/>
      <c r="V15" s="1151"/>
      <c r="W15" s="1151"/>
      <c r="X15" s="1151"/>
      <c r="Y15" s="1151"/>
      <c r="AB15" s="1130">
        <f t="shared" si="2"/>
        <v>2.5788999098286691E-2</v>
      </c>
      <c r="AC15" s="1130">
        <f t="shared" si="2"/>
        <v>3.0000000000000027E-2</v>
      </c>
      <c r="AD15" s="1130"/>
    </row>
    <row r="16" spans="1:30" x14ac:dyDescent="0.2">
      <c r="A16" s="577" t="s">
        <v>319</v>
      </c>
      <c r="B16" s="341">
        <v>39962.85</v>
      </c>
      <c r="C16" s="341">
        <v>40161.56</v>
      </c>
      <c r="D16" s="341">
        <v>42068.509999999776</v>
      </c>
      <c r="E16" s="144">
        <v>89932</v>
      </c>
      <c r="F16" s="341">
        <f t="shared" si="0"/>
        <v>92629.96</v>
      </c>
      <c r="H16" s="341">
        <f t="shared" si="1"/>
        <v>0</v>
      </c>
      <c r="I16" s="341">
        <f t="shared" si="1"/>
        <v>0</v>
      </c>
      <c r="J16" s="341">
        <f t="shared" si="1"/>
        <v>0</v>
      </c>
      <c r="K16" s="144">
        <f t="shared" si="1"/>
        <v>0</v>
      </c>
      <c r="L16" s="341">
        <f t="shared" si="1"/>
        <v>0</v>
      </c>
      <c r="M16" s="1151"/>
      <c r="N16" s="577" t="s">
        <v>319</v>
      </c>
      <c r="O16" s="341">
        <v>39962.85</v>
      </c>
      <c r="P16" s="341">
        <v>40161.56</v>
      </c>
      <c r="Q16" s="341">
        <v>42068.509999999776</v>
      </c>
      <c r="R16" s="144">
        <v>89932</v>
      </c>
      <c r="S16" s="341">
        <v>92629.96</v>
      </c>
      <c r="T16" s="1151"/>
      <c r="U16" s="1151"/>
      <c r="V16" s="1151"/>
      <c r="W16" s="1151"/>
      <c r="X16" s="1151"/>
      <c r="Y16" s="1151"/>
      <c r="AB16" s="1153">
        <f>+E16/D16-1</f>
        <v>1.1377510161401125</v>
      </c>
      <c r="AC16" s="1130">
        <f t="shared" si="2"/>
        <v>3.0000000000000027E-2</v>
      </c>
      <c r="AD16" s="1130"/>
    </row>
    <row r="17" spans="1:30" x14ac:dyDescent="0.2">
      <c r="A17" s="577" t="s">
        <v>321</v>
      </c>
      <c r="B17" s="341">
        <v>17383.93</v>
      </c>
      <c r="C17" s="341">
        <v>23940.59</v>
      </c>
      <c r="D17" s="341">
        <v>27019.319999999992</v>
      </c>
      <c r="E17" s="341">
        <f>27204+492</f>
        <v>27696</v>
      </c>
      <c r="F17" s="341">
        <f t="shared" si="0"/>
        <v>28526.880000000001</v>
      </c>
      <c r="H17" s="341">
        <f t="shared" si="1"/>
        <v>0</v>
      </c>
      <c r="I17" s="341">
        <f t="shared" si="1"/>
        <v>0</v>
      </c>
      <c r="J17" s="341">
        <f t="shared" si="1"/>
        <v>0</v>
      </c>
      <c r="K17" s="341">
        <f t="shared" si="1"/>
        <v>0</v>
      </c>
      <c r="L17" s="341">
        <f t="shared" si="1"/>
        <v>0</v>
      </c>
      <c r="M17" s="1151"/>
      <c r="N17" s="577" t="s">
        <v>321</v>
      </c>
      <c r="O17" s="341">
        <v>17383.93</v>
      </c>
      <c r="P17" s="341">
        <v>23940.59</v>
      </c>
      <c r="Q17" s="341">
        <v>27019.319999999992</v>
      </c>
      <c r="R17" s="341">
        <v>27696</v>
      </c>
      <c r="S17" s="341">
        <v>28526.880000000001</v>
      </c>
      <c r="T17" s="1151"/>
      <c r="U17" s="1151"/>
      <c r="V17" s="1151"/>
      <c r="W17" s="1151"/>
      <c r="X17" s="1151"/>
      <c r="Y17" s="1151"/>
      <c r="AB17" s="1130">
        <f t="shared" si="2"/>
        <v>2.5044301633053934E-2</v>
      </c>
      <c r="AC17" s="1130">
        <f t="shared" si="2"/>
        <v>3.0000000000000027E-2</v>
      </c>
      <c r="AD17" s="1130"/>
    </row>
    <row r="18" spans="1:30" x14ac:dyDescent="0.2">
      <c r="A18" s="577" t="s">
        <v>320</v>
      </c>
      <c r="B18" s="341">
        <v>3114.16</v>
      </c>
      <c r="C18" s="341">
        <v>2531.56</v>
      </c>
      <c r="D18" s="341">
        <v>32026.81</v>
      </c>
      <c r="E18" s="341">
        <f>32832+684</f>
        <v>33516</v>
      </c>
      <c r="F18" s="341">
        <f t="shared" si="0"/>
        <v>34521.480000000003</v>
      </c>
      <c r="H18" s="341">
        <f t="shared" si="1"/>
        <v>0</v>
      </c>
      <c r="I18" s="341">
        <f t="shared" si="1"/>
        <v>0</v>
      </c>
      <c r="J18" s="341">
        <f t="shared" si="1"/>
        <v>0</v>
      </c>
      <c r="K18" s="341">
        <f t="shared" si="1"/>
        <v>0</v>
      </c>
      <c r="L18" s="341">
        <f t="shared" si="1"/>
        <v>0</v>
      </c>
      <c r="M18" s="1151"/>
      <c r="N18" s="577" t="s">
        <v>320</v>
      </c>
      <c r="O18" s="341">
        <v>3114.16</v>
      </c>
      <c r="P18" s="341">
        <v>2531.56</v>
      </c>
      <c r="Q18" s="341">
        <v>32026.81</v>
      </c>
      <c r="R18" s="341">
        <v>33516</v>
      </c>
      <c r="S18" s="341">
        <v>34521.480000000003</v>
      </c>
      <c r="T18" s="1151"/>
      <c r="U18" s="1151"/>
      <c r="V18" s="1151"/>
      <c r="W18" s="1151"/>
      <c r="X18" s="1151"/>
      <c r="Y18" s="1151"/>
      <c r="AB18" s="1130">
        <f t="shared" si="2"/>
        <v>4.6498230701090604E-2</v>
      </c>
      <c r="AC18" s="1130">
        <f t="shared" si="2"/>
        <v>3.0000000000000027E-2</v>
      </c>
      <c r="AD18" s="1130"/>
    </row>
    <row r="19" spans="1:30" x14ac:dyDescent="0.2">
      <c r="A19" s="577" t="s">
        <v>570</v>
      </c>
      <c r="B19" s="341">
        <v>2100000</v>
      </c>
      <c r="C19" s="341">
        <v>2100000</v>
      </c>
      <c r="D19" s="341">
        <v>2100000</v>
      </c>
      <c r="E19" s="341">
        <v>2105000</v>
      </c>
      <c r="F19" s="341">
        <v>2984333.3333333335</v>
      </c>
      <c r="H19" s="341">
        <f t="shared" si="1"/>
        <v>0</v>
      </c>
      <c r="I19" s="341">
        <f t="shared" si="1"/>
        <v>0</v>
      </c>
      <c r="J19" s="341">
        <f t="shared" si="1"/>
        <v>0</v>
      </c>
      <c r="K19" s="341">
        <f t="shared" si="1"/>
        <v>0</v>
      </c>
      <c r="L19" s="341">
        <f t="shared" si="1"/>
        <v>0</v>
      </c>
      <c r="N19" s="577" t="s">
        <v>570</v>
      </c>
      <c r="O19" s="341">
        <v>2100000</v>
      </c>
      <c r="P19" s="341">
        <v>2100000</v>
      </c>
      <c r="Q19" s="341">
        <v>2100000</v>
      </c>
      <c r="R19" s="341">
        <v>2105000</v>
      </c>
      <c r="S19" s="341">
        <v>2984333.3333333335</v>
      </c>
      <c r="AB19" s="1130"/>
      <c r="AC19" s="1130"/>
      <c r="AD19" s="1130"/>
    </row>
    <row r="20" spans="1:30" ht="5.0999999999999996" customHeight="1" x14ac:dyDescent="0.2">
      <c r="A20" s="212"/>
      <c r="B20" s="1079"/>
      <c r="C20" s="1079"/>
      <c r="D20" s="1079"/>
      <c r="E20" s="1079"/>
      <c r="F20" s="1079"/>
      <c r="H20" s="1079"/>
      <c r="I20" s="1079"/>
      <c r="J20" s="1079"/>
      <c r="K20" s="1079"/>
      <c r="L20" s="1079"/>
      <c r="N20" s="212"/>
      <c r="O20" s="1079"/>
      <c r="P20" s="1079"/>
      <c r="Q20" s="1079"/>
      <c r="R20" s="1079"/>
      <c r="S20" s="1079"/>
    </row>
    <row r="21" spans="1:30" ht="18.75" customHeight="1" x14ac:dyDescent="0.2">
      <c r="A21" s="1154" t="s">
        <v>571</v>
      </c>
      <c r="B21" s="1155">
        <f t="shared" ref="B21:F21" si="3">SUM(B11:B20)</f>
        <v>2386855.02</v>
      </c>
      <c r="C21" s="1155">
        <f t="shared" si="3"/>
        <v>2422537.71</v>
      </c>
      <c r="D21" s="1155">
        <f t="shared" si="3"/>
        <v>2453896.71</v>
      </c>
      <c r="E21" s="1155">
        <f>SUM(E11:E20)</f>
        <v>2515248</v>
      </c>
      <c r="F21" s="1155">
        <f t="shared" si="3"/>
        <v>3406888.7733333334</v>
      </c>
      <c r="H21" s="1155">
        <f t="shared" si="1"/>
        <v>0</v>
      </c>
      <c r="I21" s="1155">
        <f t="shared" si="1"/>
        <v>0</v>
      </c>
      <c r="J21" s="1155">
        <f t="shared" si="1"/>
        <v>0</v>
      </c>
      <c r="K21" s="1155">
        <f t="shared" si="1"/>
        <v>0</v>
      </c>
      <c r="L21" s="1155">
        <f t="shared" si="1"/>
        <v>0</v>
      </c>
      <c r="N21" s="1154" t="s">
        <v>571</v>
      </c>
      <c r="O21" s="1155">
        <v>2386855.02</v>
      </c>
      <c r="P21" s="1155">
        <v>2422537.71</v>
      </c>
      <c r="Q21" s="1155">
        <v>2453896.71</v>
      </c>
      <c r="R21" s="1155">
        <v>2515248</v>
      </c>
      <c r="S21" s="1155">
        <v>3406888.7733333334</v>
      </c>
      <c r="AB21" s="1130">
        <f>+E21/D21-1</f>
        <v>2.5001578000404034E-2</v>
      </c>
      <c r="AC21" s="1130">
        <f>+F21/E21-1</f>
        <v>0.35449417844019093</v>
      </c>
      <c r="AD21" s="1130"/>
    </row>
    <row r="22" spans="1:30" x14ac:dyDescent="0.2">
      <c r="A22" s="577"/>
      <c r="B22" s="341"/>
      <c r="C22" s="341"/>
      <c r="D22" s="341"/>
      <c r="E22" s="341"/>
      <c r="F22" s="920"/>
      <c r="H22" s="258"/>
      <c r="I22" s="258"/>
      <c r="J22" s="258"/>
      <c r="K22" s="258"/>
      <c r="O22" s="258"/>
      <c r="P22" s="258"/>
      <c r="Q22" s="258"/>
      <c r="R22" s="258"/>
    </row>
    <row r="23" spans="1:30" x14ac:dyDescent="0.2">
      <c r="A23" s="1156" t="s">
        <v>572</v>
      </c>
      <c r="B23" s="1128"/>
      <c r="C23" s="1128"/>
      <c r="D23" s="1128"/>
      <c r="E23" s="1145"/>
      <c r="F23" s="1145"/>
      <c r="H23" s="659"/>
      <c r="I23" s="659"/>
      <c r="J23" s="659"/>
      <c r="K23" s="658"/>
      <c r="L23" s="1147"/>
      <c r="N23" s="1156" t="s">
        <v>572</v>
      </c>
      <c r="O23" s="659"/>
      <c r="P23" s="659"/>
      <c r="Q23" s="659"/>
      <c r="R23" s="658"/>
      <c r="S23" s="1147"/>
    </row>
    <row r="24" spans="1:30" x14ac:dyDescent="0.2">
      <c r="A24" s="1157" t="s">
        <v>256</v>
      </c>
      <c r="B24" s="1150">
        <v>492286.23</v>
      </c>
      <c r="C24" s="1150">
        <v>776971.17</v>
      </c>
      <c r="D24" s="1150">
        <v>652504.38</v>
      </c>
      <c r="E24" s="1150">
        <v>555249.39999999991</v>
      </c>
      <c r="F24" s="1150">
        <f>ROUND(E24*(1+$F$6),2)</f>
        <v>571906.88</v>
      </c>
      <c r="H24" s="1150">
        <f t="shared" si="1"/>
        <v>0</v>
      </c>
      <c r="I24" s="1150">
        <f t="shared" si="1"/>
        <v>0</v>
      </c>
      <c r="J24" s="1150">
        <f t="shared" si="1"/>
        <v>0</v>
      </c>
      <c r="K24" s="1150">
        <f t="shared" si="1"/>
        <v>-92570.600000000093</v>
      </c>
      <c r="L24" s="1150">
        <f t="shared" si="1"/>
        <v>-95347.719999999972</v>
      </c>
      <c r="N24" s="1157" t="s">
        <v>256</v>
      </c>
      <c r="O24" s="1150">
        <v>492286.23</v>
      </c>
      <c r="P24" s="1150">
        <v>776971.17</v>
      </c>
      <c r="Q24" s="1150">
        <v>652504.38</v>
      </c>
      <c r="R24" s="1150">
        <v>647820</v>
      </c>
      <c r="S24" s="1150">
        <v>667254.6</v>
      </c>
      <c r="AB24" s="1153">
        <f>+E24/D24-1</f>
        <v>-0.1490487772664455</v>
      </c>
      <c r="AC24" s="1130">
        <f>+F24/E24-1</f>
        <v>2.9999996398015094E-2</v>
      </c>
      <c r="AD24" s="1130"/>
    </row>
    <row r="25" spans="1:30" x14ac:dyDescent="0.2">
      <c r="A25" s="577" t="s">
        <v>321</v>
      </c>
      <c r="B25" s="341">
        <v>902104.1</v>
      </c>
      <c r="C25" s="341">
        <v>900988.04999999993</v>
      </c>
      <c r="D25" s="341">
        <v>998944.08000000007</v>
      </c>
      <c r="E25" s="144">
        <v>1173212.27</v>
      </c>
      <c r="F25" s="341">
        <f>ROUND(E25*(1+$F$6),2)</f>
        <v>1208408.6399999999</v>
      </c>
      <c r="H25" s="341">
        <f t="shared" si="1"/>
        <v>0</v>
      </c>
      <c r="I25" s="341">
        <f t="shared" si="1"/>
        <v>0</v>
      </c>
      <c r="J25" s="341">
        <f t="shared" si="1"/>
        <v>0</v>
      </c>
      <c r="K25" s="144">
        <f t="shared" si="1"/>
        <v>181424.27000000002</v>
      </c>
      <c r="L25" s="341">
        <f t="shared" si="1"/>
        <v>186866.99999999988</v>
      </c>
      <c r="N25" s="577" t="s">
        <v>321</v>
      </c>
      <c r="O25" s="341">
        <v>902104.1</v>
      </c>
      <c r="P25" s="341">
        <v>900988.04999999993</v>
      </c>
      <c r="Q25" s="341">
        <v>998944.08000000007</v>
      </c>
      <c r="R25" s="144">
        <v>991788</v>
      </c>
      <c r="S25" s="341">
        <v>1021541.64</v>
      </c>
      <c r="AB25" s="1153">
        <f>+E25/D25-1</f>
        <v>0.17445239777585941</v>
      </c>
      <c r="AC25" s="1130">
        <f>+F25/E25-1</f>
        <v>3.0000001619485239E-2</v>
      </c>
      <c r="AD25" s="1130"/>
    </row>
    <row r="26" spans="1:30" ht="5.0999999999999996" customHeight="1" x14ac:dyDescent="0.2">
      <c r="A26" s="212"/>
      <c r="B26" s="1079"/>
      <c r="C26" s="1079"/>
      <c r="D26" s="1079"/>
      <c r="E26" s="1079"/>
      <c r="F26" s="1079"/>
      <c r="H26" s="1079"/>
      <c r="I26" s="1079"/>
      <c r="J26" s="1079"/>
      <c r="K26" s="1079"/>
      <c r="L26" s="1079"/>
      <c r="N26" s="212"/>
      <c r="O26" s="1079"/>
      <c r="P26" s="1079"/>
      <c r="Q26" s="1079"/>
      <c r="R26" s="1079"/>
      <c r="S26" s="1079"/>
      <c r="AB26" s="1130"/>
    </row>
    <row r="27" spans="1:30" x14ac:dyDescent="0.2">
      <c r="A27" s="1154" t="s">
        <v>573</v>
      </c>
      <c r="B27" s="1155">
        <f t="shared" ref="B27:D27" si="4">SUM(B24:B26)</f>
        <v>1394390.33</v>
      </c>
      <c r="C27" s="1155">
        <f t="shared" si="4"/>
        <v>1677959.22</v>
      </c>
      <c r="D27" s="1155">
        <f t="shared" si="4"/>
        <v>1651448.46</v>
      </c>
      <c r="E27" s="1155">
        <f>SUM(E24:E26)</f>
        <v>1728461.67</v>
      </c>
      <c r="F27" s="1155">
        <f>SUM(F24:F26)</f>
        <v>1780315.52</v>
      </c>
      <c r="H27" s="1155">
        <f t="shared" si="1"/>
        <v>0</v>
      </c>
      <c r="I27" s="1155">
        <f t="shared" si="1"/>
        <v>0</v>
      </c>
      <c r="J27" s="1155">
        <f t="shared" si="1"/>
        <v>0</v>
      </c>
      <c r="K27" s="1155">
        <f t="shared" si="1"/>
        <v>88853.669999999925</v>
      </c>
      <c r="L27" s="1155">
        <f t="shared" si="1"/>
        <v>91519.280000000028</v>
      </c>
      <c r="N27" s="1154" t="s">
        <v>573</v>
      </c>
      <c r="O27" s="1155">
        <v>1394390.33</v>
      </c>
      <c r="P27" s="1155">
        <v>1677959.22</v>
      </c>
      <c r="Q27" s="1155">
        <v>1651448.46</v>
      </c>
      <c r="R27" s="1155">
        <v>1639608</v>
      </c>
      <c r="S27" s="1155">
        <v>1688796.24</v>
      </c>
      <c r="AB27" s="1130" t="e">
        <f>+E27/#REF!-1</f>
        <v>#REF!</v>
      </c>
      <c r="AC27" s="1130">
        <f>+F27/E27-1</f>
        <v>2.9999999942145195E-2</v>
      </c>
      <c r="AD27" s="1130"/>
    </row>
    <row r="28" spans="1:30" ht="13.5" customHeight="1" x14ac:dyDescent="0.2">
      <c r="A28" s="577"/>
      <c r="B28" s="1158"/>
      <c r="C28" s="1158"/>
      <c r="D28" s="1158"/>
      <c r="E28" s="920"/>
      <c r="F28" s="920"/>
      <c r="H28" s="1159"/>
      <c r="I28" s="1159"/>
      <c r="J28" s="1159"/>
      <c r="O28" s="1159"/>
      <c r="P28" s="1159"/>
      <c r="Q28" s="1159"/>
    </row>
    <row r="29" spans="1:30" x14ac:dyDescent="0.2">
      <c r="A29" s="1156" t="s">
        <v>574</v>
      </c>
      <c r="B29" s="1128"/>
      <c r="C29" s="1128"/>
      <c r="D29" s="1128"/>
      <c r="E29" s="1145"/>
      <c r="F29" s="1145"/>
      <c r="H29" s="659"/>
      <c r="I29" s="659"/>
      <c r="J29" s="659"/>
      <c r="K29" s="658"/>
      <c r="L29" s="1147"/>
      <c r="N29" s="1156" t="s">
        <v>574</v>
      </c>
      <c r="O29" s="659"/>
      <c r="P29" s="659"/>
      <c r="Q29" s="659"/>
      <c r="R29" s="658"/>
      <c r="S29" s="1147"/>
    </row>
    <row r="30" spans="1:30" x14ac:dyDescent="0.2">
      <c r="A30" s="1157" t="s">
        <v>256</v>
      </c>
      <c r="B30" s="1150">
        <v>6314.38</v>
      </c>
      <c r="C30" s="1150">
        <v>4293.93</v>
      </c>
      <c r="D30" s="1150">
        <v>134280.51999999999</v>
      </c>
      <c r="E30" s="1150">
        <v>70988.290000000008</v>
      </c>
      <c r="F30" s="1150">
        <f>+E30*(1+$F$6)</f>
        <v>73117.938700000013</v>
      </c>
      <c r="H30" s="1150">
        <f t="shared" si="1"/>
        <v>0</v>
      </c>
      <c r="I30" s="1150">
        <f t="shared" si="1"/>
        <v>0</v>
      </c>
      <c r="J30" s="1150">
        <f t="shared" si="1"/>
        <v>0</v>
      </c>
      <c r="K30" s="1150">
        <f t="shared" si="1"/>
        <v>-66651.709999999992</v>
      </c>
      <c r="L30" s="1150">
        <f t="shared" si="1"/>
        <v>-68651.261299999998</v>
      </c>
      <c r="N30" s="1157" t="s">
        <v>256</v>
      </c>
      <c r="O30" s="1150">
        <v>6314.38</v>
      </c>
      <c r="P30" s="1150">
        <v>4293.93</v>
      </c>
      <c r="Q30" s="1150">
        <v>134280.51999999999</v>
      </c>
      <c r="R30" s="1150">
        <v>137640</v>
      </c>
      <c r="S30" s="1150">
        <v>141769.20000000001</v>
      </c>
      <c r="AB30" s="1130">
        <f>+E30/D30-1</f>
        <v>-0.47134334898315844</v>
      </c>
      <c r="AC30" s="1130">
        <f>+F30/E30-1</f>
        <v>3.0000000000000027E-2</v>
      </c>
      <c r="AD30" s="1130"/>
    </row>
    <row r="31" spans="1:30" x14ac:dyDescent="0.2">
      <c r="A31" s="578" t="s">
        <v>321</v>
      </c>
      <c r="B31" s="144">
        <v>256413.28</v>
      </c>
      <c r="C31" s="144">
        <v>275734.03999999998</v>
      </c>
      <c r="D31" s="144">
        <v>269507.80000000016</v>
      </c>
      <c r="E31" s="144">
        <v>265820.03000000003</v>
      </c>
      <c r="F31" s="144">
        <f>+E31*(1+$F$6)</f>
        <v>273794.63090000005</v>
      </c>
      <c r="H31" s="144">
        <f t="shared" si="1"/>
        <v>0</v>
      </c>
      <c r="I31" s="144">
        <f t="shared" si="1"/>
        <v>0</v>
      </c>
      <c r="J31" s="144">
        <f t="shared" si="1"/>
        <v>0</v>
      </c>
      <c r="K31" s="144">
        <f t="shared" si="1"/>
        <v>-10419.969999999972</v>
      </c>
      <c r="L31" s="144">
        <f t="shared" si="1"/>
        <v>-10732.569099999964</v>
      </c>
      <c r="N31" s="578" t="s">
        <v>321</v>
      </c>
      <c r="O31" s="144">
        <v>256413.28</v>
      </c>
      <c r="P31" s="144">
        <v>275734.03999999998</v>
      </c>
      <c r="Q31" s="144">
        <v>269507.80000000016</v>
      </c>
      <c r="R31" s="144">
        <v>276240</v>
      </c>
      <c r="S31" s="144">
        <v>284527.2</v>
      </c>
      <c r="AA31" s="1136"/>
      <c r="AB31" s="1130">
        <f>+E31/D31-1</f>
        <v>-1.3683351650676245E-2</v>
      </c>
      <c r="AC31" s="1130">
        <f>+F31/E31-1</f>
        <v>3.0000000000000027E-2</v>
      </c>
      <c r="AD31" s="1130"/>
    </row>
    <row r="32" spans="1:30" ht="5.0999999999999996" customHeight="1" x14ac:dyDescent="0.2">
      <c r="A32" s="212"/>
      <c r="B32" s="1079"/>
      <c r="C32" s="1079"/>
      <c r="D32" s="1079"/>
      <c r="E32" s="1079"/>
      <c r="F32" s="1079"/>
      <c r="H32" s="1079"/>
      <c r="I32" s="1079"/>
      <c r="J32" s="1079"/>
      <c r="K32" s="1079"/>
      <c r="L32" s="1079"/>
      <c r="N32" s="212"/>
      <c r="O32" s="1079"/>
      <c r="P32" s="1079"/>
      <c r="Q32" s="1079"/>
      <c r="R32" s="1079"/>
      <c r="S32" s="1079"/>
      <c r="AB32" s="1130"/>
    </row>
    <row r="33" spans="1:30" x14ac:dyDescent="0.2">
      <c r="A33" s="1154" t="s">
        <v>575</v>
      </c>
      <c r="B33" s="1155">
        <f t="shared" ref="B33:D33" si="5">SUM(B30:B32)</f>
        <v>262727.65999999997</v>
      </c>
      <c r="C33" s="1155">
        <f t="shared" si="5"/>
        <v>280027.96999999997</v>
      </c>
      <c r="D33" s="1155">
        <f t="shared" si="5"/>
        <v>403788.32000000018</v>
      </c>
      <c r="E33" s="1155">
        <f>SUM(E30:E32)</f>
        <v>336808.32000000007</v>
      </c>
      <c r="F33" s="1155">
        <f>SUM(F30:F32)</f>
        <v>346912.56960000005</v>
      </c>
      <c r="H33" s="1155">
        <f t="shared" si="1"/>
        <v>0</v>
      </c>
      <c r="I33" s="1155">
        <f t="shared" si="1"/>
        <v>0</v>
      </c>
      <c r="J33" s="1155">
        <f t="shared" si="1"/>
        <v>0</v>
      </c>
      <c r="K33" s="1155">
        <f t="shared" si="1"/>
        <v>-77071.679999999935</v>
      </c>
      <c r="L33" s="1155">
        <f t="shared" si="1"/>
        <v>-79383.830399999977</v>
      </c>
      <c r="N33" s="1154" t="s">
        <v>575</v>
      </c>
      <c r="O33" s="1155">
        <v>262727.65999999997</v>
      </c>
      <c r="P33" s="1155">
        <v>280027.96999999997</v>
      </c>
      <c r="Q33" s="1155">
        <v>403788.32000000018</v>
      </c>
      <c r="R33" s="1155">
        <v>413880</v>
      </c>
      <c r="S33" s="1155">
        <v>426296.4</v>
      </c>
      <c r="AB33" s="1130" t="e">
        <f>+E33/#REF!-1</f>
        <v>#REF!</v>
      </c>
      <c r="AC33" s="1130">
        <f>+F33/E33-1</f>
        <v>3.0000000000000027E-2</v>
      </c>
      <c r="AD33" s="1130"/>
    </row>
    <row r="34" spans="1:30" x14ac:dyDescent="0.2">
      <c r="A34" s="577"/>
      <c r="B34" s="341"/>
      <c r="C34" s="341"/>
      <c r="D34" s="341"/>
      <c r="E34" s="1160"/>
      <c r="F34" s="920"/>
      <c r="H34" s="258"/>
      <c r="I34" s="258"/>
      <c r="J34" s="258"/>
      <c r="K34" s="1161"/>
      <c r="O34" s="258"/>
      <c r="P34" s="258"/>
      <c r="Q34" s="258"/>
      <c r="R34" s="1161"/>
    </row>
    <row r="35" spans="1:30" x14ac:dyDescent="0.2">
      <c r="A35" s="1156" t="s">
        <v>576</v>
      </c>
      <c r="B35" s="1128"/>
      <c r="C35" s="1128"/>
      <c r="D35" s="1128"/>
      <c r="E35" s="1145"/>
      <c r="F35" s="1145"/>
      <c r="H35" s="659"/>
      <c r="I35" s="659"/>
      <c r="J35" s="659"/>
      <c r="K35" s="658"/>
      <c r="L35" s="1147"/>
      <c r="N35" s="1156" t="s">
        <v>576</v>
      </c>
      <c r="O35" s="659"/>
      <c r="P35" s="659"/>
      <c r="Q35" s="659"/>
      <c r="R35" s="658"/>
      <c r="S35" s="1147"/>
      <c r="AA35" s="251"/>
    </row>
    <row r="36" spans="1:30" x14ac:dyDescent="0.2">
      <c r="A36" s="1148" t="s">
        <v>315</v>
      </c>
      <c r="B36" s="1149">
        <v>124450.27999999998</v>
      </c>
      <c r="C36" s="1149">
        <v>131166.53999999998</v>
      </c>
      <c r="D36" s="1149">
        <v>207302.35</v>
      </c>
      <c r="E36" s="1149">
        <v>142620.95000000001</v>
      </c>
      <c r="F36" s="1149">
        <f t="shared" ref="F36:F43" si="6">+E36*(1+$F$6)</f>
        <v>146899.5785</v>
      </c>
      <c r="H36" s="1149">
        <f t="shared" si="1"/>
        <v>0</v>
      </c>
      <c r="I36" s="1149">
        <f t="shared" si="1"/>
        <v>0</v>
      </c>
      <c r="J36" s="1149">
        <f t="shared" si="1"/>
        <v>0</v>
      </c>
      <c r="K36" s="1149">
        <f t="shared" si="1"/>
        <v>-74879.049999999988</v>
      </c>
      <c r="L36" s="1149">
        <f t="shared" si="1"/>
        <v>-77125.421499999997</v>
      </c>
      <c r="N36" s="1148" t="s">
        <v>315</v>
      </c>
      <c r="O36" s="1149">
        <v>124450.27999999998</v>
      </c>
      <c r="P36" s="1149">
        <v>131166.53999999998</v>
      </c>
      <c r="Q36" s="1149">
        <v>207302.35</v>
      </c>
      <c r="R36" s="1149">
        <v>217500</v>
      </c>
      <c r="S36" s="1149">
        <v>224025</v>
      </c>
      <c r="AB36" s="1130">
        <f t="shared" ref="AB36:AC43" si="7">+E36/D36-1</f>
        <v>-0.31201479385062447</v>
      </c>
      <c r="AC36" s="1130">
        <f t="shared" si="7"/>
        <v>3.0000000000000027E-2</v>
      </c>
      <c r="AD36" s="1130"/>
    </row>
    <row r="37" spans="1:30" x14ac:dyDescent="0.2">
      <c r="A37" s="1152" t="s">
        <v>568</v>
      </c>
      <c r="B37" s="341">
        <v>3017.3900000000003</v>
      </c>
      <c r="C37" s="341">
        <v>2228.0500000000002</v>
      </c>
      <c r="D37" s="341">
        <v>12584.020000000002</v>
      </c>
      <c r="E37" s="341">
        <v>21335.72</v>
      </c>
      <c r="F37" s="341">
        <f t="shared" si="6"/>
        <v>21975.7916</v>
      </c>
      <c r="H37" s="341">
        <f t="shared" si="1"/>
        <v>0</v>
      </c>
      <c r="I37" s="341">
        <f t="shared" si="1"/>
        <v>0</v>
      </c>
      <c r="J37" s="341">
        <f t="shared" si="1"/>
        <v>0</v>
      </c>
      <c r="K37" s="341">
        <f t="shared" si="1"/>
        <v>8039.7200000000012</v>
      </c>
      <c r="L37" s="341">
        <f t="shared" si="1"/>
        <v>8280.9115999999995</v>
      </c>
      <c r="N37" s="577" t="s">
        <v>569</v>
      </c>
      <c r="O37" s="341">
        <v>3017.3900000000003</v>
      </c>
      <c r="P37" s="341">
        <v>2228.0500000000002</v>
      </c>
      <c r="Q37" s="341">
        <v>12584.020000000002</v>
      </c>
      <c r="R37" s="341">
        <v>13296</v>
      </c>
      <c r="S37" s="341">
        <v>13694.880000000001</v>
      </c>
      <c r="AA37" s="1136"/>
      <c r="AB37" s="1130">
        <f t="shared" si="7"/>
        <v>0.69546138674286895</v>
      </c>
      <c r="AC37" s="1130">
        <f t="shared" si="7"/>
        <v>3.0000000000000027E-2</v>
      </c>
      <c r="AD37" s="1130"/>
    </row>
    <row r="38" spans="1:30" x14ac:dyDescent="0.2">
      <c r="A38" s="578" t="s">
        <v>256</v>
      </c>
      <c r="B38" s="144">
        <v>143515.62</v>
      </c>
      <c r="C38" s="144">
        <v>82961.879999999976</v>
      </c>
      <c r="D38" s="144">
        <v>260761.84000000003</v>
      </c>
      <c r="E38" s="144">
        <v>246844.36</v>
      </c>
      <c r="F38" s="144">
        <f t="shared" si="6"/>
        <v>254249.69079999998</v>
      </c>
      <c r="H38" s="144">
        <f t="shared" si="1"/>
        <v>0</v>
      </c>
      <c r="I38" s="144">
        <f t="shared" si="1"/>
        <v>0</v>
      </c>
      <c r="J38" s="144">
        <f t="shared" si="1"/>
        <v>0</v>
      </c>
      <c r="K38" s="144">
        <f t="shared" si="1"/>
        <v>-29611.640000000014</v>
      </c>
      <c r="L38" s="144">
        <f t="shared" si="1"/>
        <v>-30499.989200000011</v>
      </c>
      <c r="N38" s="578" t="s">
        <v>256</v>
      </c>
      <c r="O38" s="144">
        <v>143515.62</v>
      </c>
      <c r="P38" s="144">
        <v>82961.879999999976</v>
      </c>
      <c r="Q38" s="144">
        <v>260761.84000000003</v>
      </c>
      <c r="R38" s="144">
        <v>276456</v>
      </c>
      <c r="S38" s="144">
        <v>284749.68</v>
      </c>
      <c r="AA38" s="1136"/>
      <c r="AB38" s="1130">
        <f t="shared" si="7"/>
        <v>-5.3372379946391102E-2</v>
      </c>
      <c r="AC38" s="1130">
        <f t="shared" si="7"/>
        <v>3.0000000000000027E-2</v>
      </c>
      <c r="AD38" s="1130"/>
    </row>
    <row r="39" spans="1:30" x14ac:dyDescent="0.2">
      <c r="A39" s="577" t="s">
        <v>317</v>
      </c>
      <c r="B39" s="341">
        <v>3077.9300000000003</v>
      </c>
      <c r="C39" s="341">
        <v>2061.9</v>
      </c>
      <c r="D39" s="341">
        <v>2953.7299999999996</v>
      </c>
      <c r="E39" s="341">
        <v>6495.52</v>
      </c>
      <c r="F39" s="341">
        <f t="shared" si="6"/>
        <v>6690.3856000000005</v>
      </c>
      <c r="H39" s="341">
        <f t="shared" si="1"/>
        <v>0</v>
      </c>
      <c r="I39" s="341">
        <f t="shared" si="1"/>
        <v>0</v>
      </c>
      <c r="J39" s="341">
        <f t="shared" si="1"/>
        <v>0</v>
      </c>
      <c r="K39" s="341">
        <f t="shared" si="1"/>
        <v>3375.5200000000004</v>
      </c>
      <c r="L39" s="341">
        <f t="shared" si="1"/>
        <v>3476.7856000000006</v>
      </c>
      <c r="N39" s="577" t="s">
        <v>318</v>
      </c>
      <c r="O39" s="341">
        <v>3077.9300000000003</v>
      </c>
      <c r="P39" s="341">
        <v>2061.9</v>
      </c>
      <c r="Q39" s="341">
        <v>2953.7299999999996</v>
      </c>
      <c r="R39" s="341">
        <v>3120</v>
      </c>
      <c r="S39" s="341">
        <v>3213.6</v>
      </c>
      <c r="AA39" s="1136"/>
      <c r="AB39" s="1130">
        <f t="shared" si="7"/>
        <v>1.1990906413246982</v>
      </c>
      <c r="AC39" s="1130">
        <f t="shared" si="7"/>
        <v>3.0000000000000027E-2</v>
      </c>
      <c r="AD39" s="1130"/>
    </row>
    <row r="40" spans="1:30" x14ac:dyDescent="0.2">
      <c r="A40" s="577" t="s">
        <v>201</v>
      </c>
      <c r="B40" s="341">
        <v>1179.1200000000001</v>
      </c>
      <c r="C40" s="341">
        <v>818.09000000000015</v>
      </c>
      <c r="D40" s="341">
        <v>11093.26</v>
      </c>
      <c r="E40" s="341">
        <v>6112.46</v>
      </c>
      <c r="F40" s="341">
        <f t="shared" si="6"/>
        <v>6295.8338000000003</v>
      </c>
      <c r="H40" s="341">
        <f t="shared" si="1"/>
        <v>0</v>
      </c>
      <c r="I40" s="341">
        <f t="shared" si="1"/>
        <v>0</v>
      </c>
      <c r="J40" s="341">
        <f t="shared" si="1"/>
        <v>0</v>
      </c>
      <c r="K40" s="341">
        <f t="shared" si="1"/>
        <v>-5707.54</v>
      </c>
      <c r="L40" s="341">
        <f t="shared" si="1"/>
        <v>-5878.7662</v>
      </c>
      <c r="N40" s="577" t="s">
        <v>201</v>
      </c>
      <c r="O40" s="341">
        <v>1179.1200000000001</v>
      </c>
      <c r="P40" s="341">
        <v>818.09000000000015</v>
      </c>
      <c r="Q40" s="341">
        <v>11093.26</v>
      </c>
      <c r="R40" s="341">
        <v>11820</v>
      </c>
      <c r="S40" s="341">
        <v>12174.6</v>
      </c>
      <c r="AA40" s="1136"/>
      <c r="AB40" s="1130">
        <f t="shared" si="7"/>
        <v>-0.44899335272048069</v>
      </c>
      <c r="AC40" s="1130">
        <f t="shared" si="7"/>
        <v>3.0000000000000027E-2</v>
      </c>
      <c r="AD40" s="1130"/>
    </row>
    <row r="41" spans="1:30" x14ac:dyDescent="0.2">
      <c r="A41" s="577" t="s">
        <v>319</v>
      </c>
      <c r="B41" s="341">
        <v>16046.960000000003</v>
      </c>
      <c r="C41" s="341">
        <v>18014.25</v>
      </c>
      <c r="D41" s="341">
        <v>47038.15</v>
      </c>
      <c r="E41" s="341">
        <v>29887.899999999998</v>
      </c>
      <c r="F41" s="341">
        <f t="shared" si="6"/>
        <v>30784.537</v>
      </c>
      <c r="H41" s="341">
        <f t="shared" si="1"/>
        <v>0</v>
      </c>
      <c r="I41" s="341">
        <f t="shared" si="1"/>
        <v>0</v>
      </c>
      <c r="J41" s="341">
        <f t="shared" si="1"/>
        <v>0</v>
      </c>
      <c r="K41" s="341">
        <f t="shared" si="1"/>
        <v>-19816.100000000002</v>
      </c>
      <c r="L41" s="341">
        <f t="shared" si="1"/>
        <v>-20410.583000000002</v>
      </c>
      <c r="N41" s="577" t="s">
        <v>319</v>
      </c>
      <c r="O41" s="341">
        <v>16046.960000000003</v>
      </c>
      <c r="P41" s="341">
        <v>18014.25</v>
      </c>
      <c r="Q41" s="341">
        <v>47038.15</v>
      </c>
      <c r="R41" s="341">
        <v>49704</v>
      </c>
      <c r="S41" s="341">
        <v>51195.12</v>
      </c>
      <c r="AA41" s="1136"/>
      <c r="AB41" s="1130">
        <f t="shared" si="7"/>
        <v>-0.36460298714979233</v>
      </c>
      <c r="AC41" s="1130">
        <f t="shared" si="7"/>
        <v>3.0000000000000027E-2</v>
      </c>
      <c r="AD41" s="1130"/>
    </row>
    <row r="42" spans="1:30" x14ac:dyDescent="0.2">
      <c r="A42" s="577" t="s">
        <v>321</v>
      </c>
      <c r="B42" s="144">
        <v>203756.56000000011</v>
      </c>
      <c r="C42" s="144">
        <v>254819.1399999999</v>
      </c>
      <c r="D42" s="144">
        <v>260644.49000000014</v>
      </c>
      <c r="E42" s="341">
        <v>288806.02999999997</v>
      </c>
      <c r="F42" s="341">
        <f t="shared" si="6"/>
        <v>297470.21090000001</v>
      </c>
      <c r="H42" s="144">
        <f t="shared" si="1"/>
        <v>0</v>
      </c>
      <c r="I42" s="144">
        <f t="shared" si="1"/>
        <v>0</v>
      </c>
      <c r="J42" s="144">
        <f t="shared" si="1"/>
        <v>0</v>
      </c>
      <c r="K42" s="341">
        <f t="shared" si="1"/>
        <v>13370.02999999997</v>
      </c>
      <c r="L42" s="341">
        <f t="shared" si="1"/>
        <v>13771.130899999989</v>
      </c>
      <c r="N42" s="577" t="s">
        <v>321</v>
      </c>
      <c r="O42" s="144">
        <v>203756.56000000011</v>
      </c>
      <c r="P42" s="144">
        <v>254819.1399999999</v>
      </c>
      <c r="Q42" s="144">
        <v>260644.49000000014</v>
      </c>
      <c r="R42" s="341">
        <v>275436</v>
      </c>
      <c r="S42" s="341">
        <v>283699.08</v>
      </c>
      <c r="AA42" s="1136"/>
      <c r="AB42" s="1130">
        <f t="shared" si="7"/>
        <v>0.10804579064763575</v>
      </c>
      <c r="AC42" s="1130">
        <f t="shared" si="7"/>
        <v>3.0000000000000027E-2</v>
      </c>
      <c r="AD42" s="1130"/>
    </row>
    <row r="43" spans="1:30" x14ac:dyDescent="0.2">
      <c r="A43" s="577" t="s">
        <v>320</v>
      </c>
      <c r="B43" s="341">
        <v>16065.689999999999</v>
      </c>
      <c r="C43" s="341">
        <v>8822.69</v>
      </c>
      <c r="D43" s="341">
        <v>15180.03</v>
      </c>
      <c r="E43" s="341">
        <v>12342.82</v>
      </c>
      <c r="F43" s="341">
        <f t="shared" si="6"/>
        <v>12713.104600000001</v>
      </c>
      <c r="H43" s="341">
        <f t="shared" si="1"/>
        <v>0</v>
      </c>
      <c r="I43" s="341">
        <f t="shared" si="1"/>
        <v>0</v>
      </c>
      <c r="J43" s="341">
        <f t="shared" si="1"/>
        <v>0</v>
      </c>
      <c r="K43" s="341">
        <f t="shared" si="1"/>
        <v>-4781.18</v>
      </c>
      <c r="L43" s="341">
        <f t="shared" si="1"/>
        <v>-4924.6154000000006</v>
      </c>
      <c r="N43" s="577" t="s">
        <v>320</v>
      </c>
      <c r="O43" s="341">
        <v>16065.689999999999</v>
      </c>
      <c r="P43" s="341">
        <v>8822.69</v>
      </c>
      <c r="Q43" s="341">
        <v>15180.03</v>
      </c>
      <c r="R43" s="341">
        <v>17124</v>
      </c>
      <c r="S43" s="341">
        <v>17637.72</v>
      </c>
      <c r="AA43" s="1136"/>
      <c r="AB43" s="1130">
        <f t="shared" si="7"/>
        <v>-0.18690411020268083</v>
      </c>
      <c r="AC43" s="1130">
        <f t="shared" si="7"/>
        <v>3.0000000000000027E-2</v>
      </c>
      <c r="AD43" s="1130"/>
    </row>
    <row r="44" spans="1:30" ht="5.0999999999999996" customHeight="1" x14ac:dyDescent="0.2">
      <c r="A44" s="212"/>
      <c r="B44" s="1079"/>
      <c r="C44" s="1079"/>
      <c r="D44" s="1079"/>
      <c r="E44" s="1079"/>
      <c r="F44" s="1079"/>
      <c r="H44" s="1079"/>
      <c r="I44" s="1079"/>
      <c r="J44" s="1079"/>
      <c r="K44" s="1079"/>
      <c r="L44" s="1079"/>
      <c r="N44" s="212"/>
      <c r="O44" s="1079"/>
      <c r="P44" s="1079"/>
      <c r="Q44" s="1079"/>
      <c r="R44" s="1079"/>
      <c r="S44" s="1079"/>
      <c r="AB44" s="1130"/>
    </row>
    <row r="45" spans="1:30" x14ac:dyDescent="0.2">
      <c r="A45" s="1154" t="s">
        <v>577</v>
      </c>
      <c r="B45" s="1155">
        <f t="shared" ref="B45:D45" si="8">SUM(B36:B44)</f>
        <v>511109.5500000001</v>
      </c>
      <c r="C45" s="1155">
        <f t="shared" si="8"/>
        <v>500892.53999999986</v>
      </c>
      <c r="D45" s="1155">
        <f t="shared" si="8"/>
        <v>817557.87000000011</v>
      </c>
      <c r="E45" s="1155">
        <f>SUM(E36:E44)</f>
        <v>754445.76</v>
      </c>
      <c r="F45" s="1155">
        <f>SUM(F36:F44)</f>
        <v>777079.13280000002</v>
      </c>
      <c r="H45" s="1155">
        <f t="shared" si="1"/>
        <v>0</v>
      </c>
      <c r="I45" s="1155">
        <f t="shared" si="1"/>
        <v>0</v>
      </c>
      <c r="J45" s="1155">
        <f t="shared" si="1"/>
        <v>0</v>
      </c>
      <c r="K45" s="1155">
        <f t="shared" si="1"/>
        <v>-110010.23999999999</v>
      </c>
      <c r="L45" s="1155">
        <f t="shared" si="1"/>
        <v>-113310.54719999991</v>
      </c>
      <c r="N45" s="1154" t="s">
        <v>577</v>
      </c>
      <c r="O45" s="1155">
        <v>511109.5500000001</v>
      </c>
      <c r="P45" s="1155">
        <v>500892.53999999986</v>
      </c>
      <c r="Q45" s="1155">
        <v>817557.87000000011</v>
      </c>
      <c r="R45" s="1155">
        <v>864456</v>
      </c>
      <c r="S45" s="1155">
        <v>890389.67999999993</v>
      </c>
      <c r="AB45" s="1130">
        <f>+E45/D45-1</f>
        <v>-7.7195893178791275E-2</v>
      </c>
      <c r="AC45" s="1130">
        <f>+F45/E45-1</f>
        <v>3.0000000000000027E-2</v>
      </c>
      <c r="AD45" s="1130"/>
    </row>
    <row r="46" spans="1:30" x14ac:dyDescent="0.2">
      <c r="H46" s="258"/>
      <c r="I46" s="258"/>
      <c r="J46" s="258"/>
      <c r="O46" s="258"/>
      <c r="P46" s="258"/>
      <c r="Q46" s="258"/>
    </row>
    <row r="52" spans="6:6" ht="15" x14ac:dyDescent="0.2">
      <c r="F52" s="1162"/>
    </row>
    <row r="53" spans="6:6" ht="15" x14ac:dyDescent="0.2">
      <c r="F53" s="1162"/>
    </row>
    <row r="54" spans="6:6" ht="15" x14ac:dyDescent="0.2">
      <c r="F54" s="1162"/>
    </row>
    <row r="55" spans="6:6" x14ac:dyDescent="0.2">
      <c r="F55" s="1163"/>
    </row>
  </sheetData>
  <mergeCells count="5">
    <mergeCell ref="H5:L6"/>
    <mergeCell ref="N5:S6"/>
    <mergeCell ref="B7:D7"/>
    <mergeCell ref="H7:J7"/>
    <mergeCell ref="O7:Q7"/>
  </mergeCells>
  <pageMargins left="1" right="0.75" top="0.75" bottom="0.5" header="0.5" footer="0.5"/>
  <pageSetup scale="77" orientation="landscape" r:id="rId1"/>
  <headerFooter>
    <oddFooter>&amp;L&amp;KFF0000Final Rate Application&amp;CPage &amp;P of &amp;N&amp;R02/10/2017</oddFooter>
  </headerFooter>
  <rowBreaks count="1" manualBreakCount="1">
    <brk id="45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</sheetPr>
  <dimension ref="A1:S106"/>
  <sheetViews>
    <sheetView showOutlineSymbols="0" zoomScaleNormal="100" zoomScaleSheetLayoutView="7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activeCell="B8" sqref="B8"/>
    </sheetView>
  </sheetViews>
  <sheetFormatPr defaultRowHeight="12.75" x14ac:dyDescent="0.2"/>
  <cols>
    <col min="1" max="1" width="44.7109375" style="12" customWidth="1"/>
    <col min="2" max="4" width="15.140625" style="12" customWidth="1"/>
    <col min="5" max="6" width="17.85546875" style="12" customWidth="1"/>
    <col min="7" max="7" width="1.5703125" style="12" customWidth="1"/>
    <col min="8" max="10" width="12.28515625" style="12" customWidth="1"/>
    <col min="11" max="11" width="13.85546875" style="12" customWidth="1"/>
    <col min="12" max="12" width="17.7109375" style="12" bestFit="1" customWidth="1"/>
    <col min="13" max="13" width="1.7109375" style="12" customWidth="1"/>
    <col min="14" max="14" width="46.42578125" style="12" bestFit="1" customWidth="1"/>
    <col min="15" max="17" width="13.5703125" style="12" customWidth="1"/>
    <col min="18" max="18" width="13.42578125" style="12" customWidth="1"/>
    <col min="19" max="19" width="17.7109375" style="12" bestFit="1" customWidth="1"/>
    <col min="20" max="16384" width="9.140625" style="12"/>
  </cols>
  <sheetData>
    <row r="1" spans="1:19" x14ac:dyDescent="0.2">
      <c r="A1" s="1129" t="s">
        <v>0</v>
      </c>
      <c r="D1" s="1164" t="s">
        <v>578</v>
      </c>
      <c r="E1" s="1165">
        <v>4.5</v>
      </c>
      <c r="H1" s="1166"/>
      <c r="I1" s="126"/>
      <c r="J1" s="126"/>
    </row>
    <row r="2" spans="1:19" x14ac:dyDescent="0.2">
      <c r="A2" s="1117" t="s">
        <v>579</v>
      </c>
      <c r="D2" s="1167" t="s">
        <v>580</v>
      </c>
      <c r="E2" s="1165">
        <v>2.2000000000000002</v>
      </c>
      <c r="H2" s="32"/>
      <c r="I2" s="1168"/>
      <c r="J2" s="1168"/>
    </row>
    <row r="3" spans="1:19" x14ac:dyDescent="0.2">
      <c r="A3" s="1131" t="s">
        <v>52</v>
      </c>
      <c r="B3" s="1169"/>
      <c r="C3" s="1169"/>
      <c r="D3" s="1169"/>
      <c r="E3" s="175"/>
      <c r="F3" s="111"/>
      <c r="H3" s="32"/>
      <c r="I3" s="1170"/>
      <c r="J3" s="1168"/>
    </row>
    <row r="4" spans="1:19" ht="6" customHeight="1" x14ac:dyDescent="0.2">
      <c r="A4" s="1131"/>
      <c r="H4" s="1522" t="s">
        <v>74</v>
      </c>
      <c r="I4" s="1596"/>
      <c r="J4" s="1596"/>
      <c r="K4" s="1596"/>
      <c r="L4" s="1524"/>
      <c r="M4" s="867"/>
      <c r="N4" s="1497" t="s">
        <v>75</v>
      </c>
      <c r="O4" s="1600"/>
      <c r="P4" s="1600"/>
      <c r="Q4" s="1600"/>
      <c r="R4" s="1600"/>
      <c r="S4" s="1499"/>
    </row>
    <row r="5" spans="1:19" ht="12.75" customHeight="1" x14ac:dyDescent="0.2">
      <c r="A5" s="1171"/>
      <c r="B5" s="348"/>
      <c r="C5" s="348"/>
      <c r="D5" s="348"/>
      <c r="H5" s="1531"/>
      <c r="I5" s="1598"/>
      <c r="J5" s="1598"/>
      <c r="K5" s="1598"/>
      <c r="L5" s="1599"/>
      <c r="M5" s="867"/>
      <c r="N5" s="1500"/>
      <c r="O5" s="1601"/>
      <c r="P5" s="1601"/>
      <c r="Q5" s="1601"/>
      <c r="R5" s="1601"/>
      <c r="S5" s="1602"/>
    </row>
    <row r="6" spans="1:19" ht="16.5" customHeight="1" x14ac:dyDescent="0.25">
      <c r="B6" s="1172" t="s">
        <v>207</v>
      </c>
      <c r="C6" s="1174"/>
      <c r="D6" s="1174"/>
      <c r="E6" s="267" t="s">
        <v>208</v>
      </c>
      <c r="F6" s="19" t="s">
        <v>209</v>
      </c>
      <c r="H6" s="1585" t="s">
        <v>207</v>
      </c>
      <c r="I6" s="1586"/>
      <c r="J6" s="1587"/>
      <c r="K6" s="909" t="s">
        <v>208</v>
      </c>
      <c r="L6" s="910" t="s">
        <v>209</v>
      </c>
      <c r="N6" s="1093"/>
      <c r="O6" s="1586" t="s">
        <v>207</v>
      </c>
      <c r="P6" s="1586"/>
      <c r="Q6" s="1587"/>
      <c r="R6" s="909" t="s">
        <v>208</v>
      </c>
      <c r="S6" s="910" t="s">
        <v>209</v>
      </c>
    </row>
    <row r="7" spans="1:19" ht="18" customHeight="1" x14ac:dyDescent="0.25">
      <c r="A7" s="1175" t="s">
        <v>2</v>
      </c>
      <c r="B7" s="271" t="s">
        <v>102</v>
      </c>
      <c r="C7" s="271" t="s">
        <v>103</v>
      </c>
      <c r="D7" s="271" t="s">
        <v>104</v>
      </c>
      <c r="E7" s="267" t="s">
        <v>99</v>
      </c>
      <c r="F7" s="19" t="s">
        <v>69</v>
      </c>
      <c r="H7" s="912" t="s">
        <v>102</v>
      </c>
      <c r="I7" s="912" t="s">
        <v>103</v>
      </c>
      <c r="J7" s="912" t="s">
        <v>104</v>
      </c>
      <c r="K7" s="913" t="s">
        <v>99</v>
      </c>
      <c r="L7" s="914" t="s">
        <v>69</v>
      </c>
      <c r="N7" s="1177" t="s">
        <v>2</v>
      </c>
      <c r="O7" s="915" t="s">
        <v>102</v>
      </c>
      <c r="P7" s="912" t="s">
        <v>103</v>
      </c>
      <c r="Q7" s="912" t="s">
        <v>104</v>
      </c>
      <c r="R7" s="913" t="s">
        <v>99</v>
      </c>
      <c r="S7" s="914" t="s">
        <v>69</v>
      </c>
    </row>
    <row r="8" spans="1:19" ht="5.25" customHeight="1" x14ac:dyDescent="0.2">
      <c r="A8" s="1178"/>
      <c r="B8" s="1179"/>
      <c r="C8" s="1179"/>
      <c r="D8" s="1179"/>
      <c r="E8" s="1179"/>
      <c r="F8" s="1179"/>
      <c r="H8" s="1179"/>
      <c r="I8" s="1179"/>
      <c r="J8" s="1179"/>
      <c r="K8" s="1179"/>
      <c r="L8" s="1179"/>
      <c r="N8" s="1178"/>
      <c r="O8" s="1179"/>
      <c r="P8" s="1179"/>
      <c r="Q8" s="1179"/>
      <c r="R8" s="1179"/>
      <c r="S8" s="1179"/>
    </row>
    <row r="9" spans="1:19" x14ac:dyDescent="0.2">
      <c r="A9" s="1180" t="s">
        <v>581</v>
      </c>
      <c r="B9" s="1181">
        <v>368612.24000000086</v>
      </c>
      <c r="C9" s="1181">
        <v>381783.07399999979</v>
      </c>
      <c r="D9" s="1181">
        <v>212715.78</v>
      </c>
      <c r="E9" s="1182"/>
      <c r="F9" s="1182"/>
      <c r="G9" s="1183"/>
      <c r="H9" s="1456">
        <f>IFERROR(B9-O9,"")</f>
        <v>0</v>
      </c>
      <c r="I9" s="1456">
        <f>IFERROR(C9-P9,"")</f>
        <v>0</v>
      </c>
      <c r="J9" s="1456">
        <f>IFERROR(D9-Q9,"")</f>
        <v>0</v>
      </c>
      <c r="K9" s="1457"/>
      <c r="L9" s="1457"/>
      <c r="N9" s="1180" t="s">
        <v>581</v>
      </c>
      <c r="O9" s="1181">
        <v>368612.24000000086</v>
      </c>
      <c r="P9" s="1181">
        <v>381783.07399999979</v>
      </c>
      <c r="Q9" s="1181">
        <v>212715.78</v>
      </c>
      <c r="R9" s="1182">
        <v>0</v>
      </c>
      <c r="S9" s="1182">
        <v>0</v>
      </c>
    </row>
    <row r="10" spans="1:19" x14ac:dyDescent="0.2">
      <c r="A10" s="1184" t="s">
        <v>582</v>
      </c>
      <c r="B10" s="1181"/>
      <c r="C10" s="1181"/>
      <c r="D10" s="1181">
        <v>184685.84000000003</v>
      </c>
      <c r="E10" s="1182">
        <f>J.2!E27</f>
        <v>398846.10947830055</v>
      </c>
      <c r="F10" s="1182">
        <f>J.2!F27</f>
        <v>381297.11987335293</v>
      </c>
      <c r="G10" s="1183"/>
      <c r="H10" s="1456"/>
      <c r="I10" s="1456"/>
      <c r="J10" s="1456">
        <f>IFERROR(D10-Q10,"")</f>
        <v>0</v>
      </c>
      <c r="K10" s="1457">
        <f>IFERROR(E10-R10,"")</f>
        <v>2734.8290783006232</v>
      </c>
      <c r="L10" s="1457">
        <f>IFERROR(F10-S10,"")</f>
        <v>-6856.5220519345603</v>
      </c>
      <c r="N10" s="1184" t="s">
        <v>582</v>
      </c>
      <c r="O10" s="1181"/>
      <c r="P10" s="1181"/>
      <c r="Q10" s="1181">
        <v>184685.84000000003</v>
      </c>
      <c r="R10" s="1182">
        <v>396111.28039999993</v>
      </c>
      <c r="S10" s="1182">
        <v>388153.64192528749</v>
      </c>
    </row>
    <row r="11" spans="1:19" x14ac:dyDescent="0.2">
      <c r="A11" s="1185"/>
      <c r="B11" s="1186"/>
      <c r="C11" s="1186"/>
      <c r="D11" s="1186"/>
      <c r="E11" s="1187"/>
      <c r="F11" s="1187"/>
      <c r="H11" s="1458"/>
      <c r="I11" s="1458"/>
      <c r="J11" s="1458"/>
      <c r="K11" s="1459"/>
      <c r="L11" s="1459"/>
      <c r="N11" s="1185"/>
      <c r="O11" s="1186"/>
      <c r="P11" s="1186"/>
      <c r="Q11" s="1186"/>
      <c r="R11" s="1187"/>
      <c r="S11" s="1187"/>
    </row>
    <row r="12" spans="1:19" x14ac:dyDescent="0.2">
      <c r="A12" s="1188" t="s">
        <v>583</v>
      </c>
      <c r="B12" s="1189"/>
      <c r="C12" s="1189"/>
      <c r="D12" s="1189"/>
      <c r="E12" s="1190"/>
      <c r="F12" s="1190"/>
      <c r="H12" s="1257"/>
      <c r="I12" s="1257"/>
      <c r="J12" s="1257"/>
      <c r="K12" s="1016"/>
      <c r="L12" s="1016"/>
      <c r="N12" s="1188" t="s">
        <v>583</v>
      </c>
      <c r="O12" s="1189"/>
      <c r="P12" s="1189"/>
      <c r="Q12" s="1189"/>
      <c r="R12" s="1190"/>
      <c r="S12" s="1190"/>
    </row>
    <row r="13" spans="1:19" x14ac:dyDescent="0.2">
      <c r="A13" s="327" t="s">
        <v>584</v>
      </c>
      <c r="B13" s="144">
        <f>52-B62</f>
        <v>20</v>
      </c>
      <c r="C13" s="1191">
        <v>13</v>
      </c>
      <c r="D13" s="1191">
        <v>6.5</v>
      </c>
      <c r="E13" s="1192">
        <v>0</v>
      </c>
      <c r="F13" s="1192">
        <f>+E13</f>
        <v>0</v>
      </c>
      <c r="H13" s="69">
        <f t="shared" ref="H13:L20" si="0">IFERROR(B13-O13,"")</f>
        <v>0</v>
      </c>
      <c r="I13" s="69">
        <f t="shared" si="0"/>
        <v>0</v>
      </c>
      <c r="J13" s="69">
        <f t="shared" si="0"/>
        <v>0</v>
      </c>
      <c r="K13" s="69">
        <f t="shared" si="0"/>
        <v>0</v>
      </c>
      <c r="L13" s="69">
        <f t="shared" si="0"/>
        <v>0</v>
      </c>
      <c r="N13" s="327" t="s">
        <v>584</v>
      </c>
      <c r="O13" s="144">
        <v>20</v>
      </c>
      <c r="P13" s="1191">
        <v>13</v>
      </c>
      <c r="Q13" s="1191">
        <v>6.5</v>
      </c>
      <c r="R13" s="1192">
        <v>0</v>
      </c>
      <c r="S13" s="1192">
        <v>0</v>
      </c>
    </row>
    <row r="14" spans="1:19" x14ac:dyDescent="0.2">
      <c r="A14" s="1121" t="s">
        <v>585</v>
      </c>
      <c r="B14" s="1193">
        <f>+B9-B37</f>
        <v>346929.16705882433</v>
      </c>
      <c r="C14" s="1193">
        <f>+C9-C37</f>
        <v>215790.43313043466</v>
      </c>
      <c r="D14" s="1193">
        <f>D13/SUM(D13,D36)*D9</f>
        <v>74737.976756756761</v>
      </c>
      <c r="E14" s="1192">
        <v>0</v>
      </c>
      <c r="F14" s="1192">
        <f t="shared" ref="E14:F18" si="1">+E14</f>
        <v>0</v>
      </c>
      <c r="H14" s="69">
        <f t="shared" si="0"/>
        <v>0</v>
      </c>
      <c r="I14" s="69">
        <f t="shared" si="0"/>
        <v>0</v>
      </c>
      <c r="J14" s="69">
        <f t="shared" si="0"/>
        <v>0</v>
      </c>
      <c r="K14" s="69">
        <f t="shared" si="0"/>
        <v>0</v>
      </c>
      <c r="L14" s="69">
        <f t="shared" si="0"/>
        <v>0</v>
      </c>
      <c r="N14" s="1121" t="s">
        <v>586</v>
      </c>
      <c r="O14" s="1193">
        <v>346929.16705882433</v>
      </c>
      <c r="P14" s="1193">
        <v>215790.43313043466</v>
      </c>
      <c r="Q14" s="1193">
        <v>74737.976756756761</v>
      </c>
      <c r="R14" s="1192">
        <v>0</v>
      </c>
      <c r="S14" s="1192">
        <v>0</v>
      </c>
    </row>
    <row r="15" spans="1:19" x14ac:dyDescent="0.2">
      <c r="A15" s="330" t="s">
        <v>587</v>
      </c>
      <c r="B15" s="1195">
        <v>24.49</v>
      </c>
      <c r="C15" s="1195">
        <v>24.46</v>
      </c>
      <c r="D15" s="1195">
        <v>24.5</v>
      </c>
      <c r="E15" s="1192">
        <f t="shared" si="1"/>
        <v>24.5</v>
      </c>
      <c r="F15" s="1192">
        <f t="shared" si="1"/>
        <v>24.5</v>
      </c>
      <c r="H15" s="69">
        <f t="shared" si="0"/>
        <v>0</v>
      </c>
      <c r="I15" s="69">
        <f t="shared" si="0"/>
        <v>0</v>
      </c>
      <c r="J15" s="69">
        <f t="shared" si="0"/>
        <v>0</v>
      </c>
      <c r="K15" s="69">
        <f t="shared" si="0"/>
        <v>0</v>
      </c>
      <c r="L15" s="69">
        <f t="shared" si="0"/>
        <v>0</v>
      </c>
      <c r="N15" s="330" t="s">
        <v>587</v>
      </c>
      <c r="O15" s="1195">
        <v>24.49</v>
      </c>
      <c r="P15" s="1195">
        <v>24.46</v>
      </c>
      <c r="Q15" s="1195">
        <v>24.5</v>
      </c>
      <c r="R15" s="1192">
        <v>24.5</v>
      </c>
      <c r="S15" s="1192">
        <v>24.5</v>
      </c>
    </row>
    <row r="16" spans="1:19" x14ac:dyDescent="0.2">
      <c r="A16" s="327" t="s">
        <v>588</v>
      </c>
      <c r="B16" s="1193">
        <f t="shared" ref="B16:D16" si="2">+B14/B15</f>
        <v>14166.156270266409</v>
      </c>
      <c r="C16" s="1193">
        <f t="shared" si="2"/>
        <v>8822.1763340324869</v>
      </c>
      <c r="D16" s="1193">
        <f t="shared" si="2"/>
        <v>3050.5296635410923</v>
      </c>
      <c r="E16" s="1192">
        <v>0</v>
      </c>
      <c r="F16" s="1192">
        <f t="shared" si="1"/>
        <v>0</v>
      </c>
      <c r="H16" s="69">
        <f t="shared" si="0"/>
        <v>0</v>
      </c>
      <c r="I16" s="69">
        <f t="shared" si="0"/>
        <v>0</v>
      </c>
      <c r="J16" s="69">
        <f t="shared" si="0"/>
        <v>0</v>
      </c>
      <c r="K16" s="69">
        <f t="shared" si="0"/>
        <v>0</v>
      </c>
      <c r="L16" s="69">
        <f t="shared" si="0"/>
        <v>0</v>
      </c>
      <c r="N16" s="327" t="s">
        <v>588</v>
      </c>
      <c r="O16" s="1193">
        <v>14166.156270266409</v>
      </c>
      <c r="P16" s="1193">
        <v>8822.1763340324869</v>
      </c>
      <c r="Q16" s="1193">
        <v>3050.5296635410923</v>
      </c>
      <c r="R16" s="1192">
        <v>0</v>
      </c>
      <c r="S16" s="1192">
        <v>0</v>
      </c>
    </row>
    <row r="17" spans="1:19" x14ac:dyDescent="0.2">
      <c r="A17" s="327" t="s">
        <v>589</v>
      </c>
      <c r="B17" s="1193">
        <v>110</v>
      </c>
      <c r="C17" s="1196">
        <v>110</v>
      </c>
      <c r="D17" s="1196">
        <v>110</v>
      </c>
      <c r="E17" s="144">
        <f t="shared" si="1"/>
        <v>110</v>
      </c>
      <c r="F17" s="144">
        <f t="shared" si="1"/>
        <v>110</v>
      </c>
      <c r="H17" s="69">
        <f t="shared" si="0"/>
        <v>0</v>
      </c>
      <c r="I17" s="69">
        <f t="shared" si="0"/>
        <v>0</v>
      </c>
      <c r="J17" s="69">
        <f t="shared" si="0"/>
        <v>0</v>
      </c>
      <c r="K17" s="69">
        <f t="shared" si="0"/>
        <v>0</v>
      </c>
      <c r="L17" s="69">
        <f t="shared" si="0"/>
        <v>0</v>
      </c>
      <c r="N17" s="327" t="s">
        <v>589</v>
      </c>
      <c r="O17" s="1193">
        <v>110</v>
      </c>
      <c r="P17" s="1196">
        <v>110</v>
      </c>
      <c r="Q17" s="1196">
        <v>110</v>
      </c>
      <c r="R17" s="144">
        <v>110</v>
      </c>
      <c r="S17" s="144">
        <v>110</v>
      </c>
    </row>
    <row r="18" spans="1:19" x14ac:dyDescent="0.2">
      <c r="A18" s="327" t="s">
        <v>590</v>
      </c>
      <c r="B18" s="1193">
        <f t="shared" ref="B18:D18" si="3">B16*B17</f>
        <v>1558277.189729305</v>
      </c>
      <c r="C18" s="1193">
        <f t="shared" si="3"/>
        <v>970439.3967435736</v>
      </c>
      <c r="D18" s="1193">
        <f t="shared" si="3"/>
        <v>335558.26298952015</v>
      </c>
      <c r="E18" s="1192">
        <v>0</v>
      </c>
      <c r="F18" s="1192">
        <f t="shared" si="1"/>
        <v>0</v>
      </c>
      <c r="H18" s="69">
        <f t="shared" si="0"/>
        <v>0</v>
      </c>
      <c r="I18" s="69">
        <f t="shared" si="0"/>
        <v>0</v>
      </c>
      <c r="J18" s="69">
        <f t="shared" si="0"/>
        <v>0</v>
      </c>
      <c r="K18" s="69">
        <f t="shared" si="0"/>
        <v>0</v>
      </c>
      <c r="L18" s="69">
        <f t="shared" si="0"/>
        <v>0</v>
      </c>
      <c r="N18" s="327" t="s">
        <v>590</v>
      </c>
      <c r="O18" s="1193">
        <v>1558277.189729305</v>
      </c>
      <c r="P18" s="1193">
        <v>970439.3967435736</v>
      </c>
      <c r="Q18" s="1193">
        <v>335558.26298952015</v>
      </c>
      <c r="R18" s="1192">
        <v>0</v>
      </c>
      <c r="S18" s="1192">
        <v>0</v>
      </c>
    </row>
    <row r="19" spans="1:19" x14ac:dyDescent="0.2">
      <c r="A19" s="327" t="s">
        <v>591</v>
      </c>
      <c r="B19" s="1197">
        <v>4.5</v>
      </c>
      <c r="C19" s="1197">
        <f>B19</f>
        <v>4.5</v>
      </c>
      <c r="D19" s="1197">
        <f>C19</f>
        <v>4.5</v>
      </c>
      <c r="E19" s="1197">
        <f>D19</f>
        <v>4.5</v>
      </c>
      <c r="F19" s="1197">
        <f>E19</f>
        <v>4.5</v>
      </c>
      <c r="H19" s="1054">
        <f t="shared" si="0"/>
        <v>0</v>
      </c>
      <c r="I19" s="1054">
        <f t="shared" si="0"/>
        <v>0</v>
      </c>
      <c r="J19" s="1054">
        <f t="shared" si="0"/>
        <v>0</v>
      </c>
      <c r="K19" s="1054">
        <f t="shared" si="0"/>
        <v>0</v>
      </c>
      <c r="L19" s="1054">
        <f t="shared" si="0"/>
        <v>0</v>
      </c>
      <c r="N19" s="327" t="s">
        <v>591</v>
      </c>
      <c r="O19" s="1197">
        <v>4.5</v>
      </c>
      <c r="P19" s="1197">
        <v>4.5</v>
      </c>
      <c r="Q19" s="1197">
        <v>4.5</v>
      </c>
      <c r="R19" s="1197">
        <v>4.5</v>
      </c>
      <c r="S19" s="1197">
        <v>4.5</v>
      </c>
    </row>
    <row r="20" spans="1:19" x14ac:dyDescent="0.2">
      <c r="A20" s="1198" t="s">
        <v>592</v>
      </c>
      <c r="B20" s="1199">
        <f t="shared" ref="B20:F20" si="4">B18/B19</f>
        <v>346283.81993984553</v>
      </c>
      <c r="C20" s="1199">
        <f t="shared" si="4"/>
        <v>215653.19927634968</v>
      </c>
      <c r="D20" s="1199">
        <f t="shared" si="4"/>
        <v>74568.502886560032</v>
      </c>
      <c r="E20" s="1200">
        <f t="shared" si="4"/>
        <v>0</v>
      </c>
      <c r="F20" s="1200">
        <f t="shared" si="4"/>
        <v>0</v>
      </c>
      <c r="H20" s="1460">
        <f t="shared" si="0"/>
        <v>0</v>
      </c>
      <c r="I20" s="1460">
        <f t="shared" si="0"/>
        <v>0</v>
      </c>
      <c r="J20" s="1460">
        <f t="shared" si="0"/>
        <v>0</v>
      </c>
      <c r="K20" s="1461">
        <f t="shared" si="0"/>
        <v>0</v>
      </c>
      <c r="L20" s="1461">
        <f t="shared" si="0"/>
        <v>0</v>
      </c>
      <c r="N20" s="1198" t="s">
        <v>592</v>
      </c>
      <c r="O20" s="1199">
        <v>346283.81993984553</v>
      </c>
      <c r="P20" s="1199">
        <v>215653.19927634968</v>
      </c>
      <c r="Q20" s="1199">
        <v>74568.502886560032</v>
      </c>
      <c r="R20" s="1201">
        <v>0</v>
      </c>
      <c r="S20" s="1201">
        <v>0</v>
      </c>
    </row>
    <row r="21" spans="1:19" x14ac:dyDescent="0.2">
      <c r="A21" s="1202"/>
      <c r="B21" s="1181"/>
      <c r="C21" s="1181"/>
      <c r="D21" s="1181"/>
      <c r="E21" s="1182"/>
      <c r="F21" s="1182"/>
      <c r="H21" s="1456"/>
      <c r="I21" s="1456"/>
      <c r="J21" s="1456"/>
      <c r="K21" s="1457"/>
      <c r="L21" s="1457"/>
      <c r="N21" s="1202"/>
      <c r="O21" s="1181"/>
      <c r="P21" s="1181"/>
      <c r="Q21" s="1181"/>
      <c r="R21" s="1182"/>
      <c r="S21" s="1182"/>
    </row>
    <row r="22" spans="1:19" x14ac:dyDescent="0.2">
      <c r="A22" s="1188" t="s">
        <v>583</v>
      </c>
      <c r="B22" s="1181"/>
      <c r="C22" s="1181"/>
      <c r="D22" s="1181"/>
      <c r="E22" s="1182"/>
      <c r="F22" s="1182"/>
      <c r="H22" s="1456"/>
      <c r="I22" s="1456"/>
      <c r="J22" s="1456"/>
      <c r="K22" s="1457"/>
      <c r="L22" s="1457"/>
      <c r="N22" s="1188" t="s">
        <v>583</v>
      </c>
      <c r="O22" s="1181"/>
      <c r="P22" s="1181"/>
      <c r="Q22" s="1181"/>
      <c r="R22" s="1182"/>
      <c r="S22" s="1182"/>
    </row>
    <row r="23" spans="1:19" x14ac:dyDescent="0.2">
      <c r="A23" s="1056" t="s">
        <v>593</v>
      </c>
      <c r="B23" s="1203"/>
      <c r="C23" s="1203"/>
      <c r="D23" s="1204">
        <v>0</v>
      </c>
      <c r="E23" s="1205">
        <f t="shared" ref="E23:F29" si="5">+D23</f>
        <v>0</v>
      </c>
      <c r="F23" s="1205">
        <f t="shared" si="5"/>
        <v>0</v>
      </c>
      <c r="H23" s="1462"/>
      <c r="I23" s="1462"/>
      <c r="J23" s="1463">
        <f t="shared" ref="J23:L30" si="6">IFERROR(D23-Q23,"")</f>
        <v>0</v>
      </c>
      <c r="K23" s="50">
        <f t="shared" si="6"/>
        <v>0</v>
      </c>
      <c r="L23" s="50">
        <f t="shared" si="6"/>
        <v>0</v>
      </c>
      <c r="N23" s="1056" t="s">
        <v>593</v>
      </c>
      <c r="O23" s="1203"/>
      <c r="P23" s="1203"/>
      <c r="Q23" s="1204">
        <v>0</v>
      </c>
      <c r="R23" s="1205">
        <v>0</v>
      </c>
      <c r="S23" s="1205">
        <v>0</v>
      </c>
    </row>
    <row r="24" spans="1:19" x14ac:dyDescent="0.2">
      <c r="A24" s="1121" t="s">
        <v>585</v>
      </c>
      <c r="B24" s="1203"/>
      <c r="C24" s="1203"/>
      <c r="D24" s="1204">
        <f>D23/SUM(D23,D47)*D10</f>
        <v>0</v>
      </c>
      <c r="E24" s="1205">
        <v>0</v>
      </c>
      <c r="F24" s="1205">
        <v>0</v>
      </c>
      <c r="H24" s="1462"/>
      <c r="I24" s="1462"/>
      <c r="J24" s="1463">
        <f t="shared" si="6"/>
        <v>0</v>
      </c>
      <c r="K24" s="50">
        <f t="shared" si="6"/>
        <v>0</v>
      </c>
      <c r="L24" s="50">
        <f t="shared" si="6"/>
        <v>0</v>
      </c>
      <c r="N24" s="1121" t="s">
        <v>586</v>
      </c>
      <c r="O24" s="1203"/>
      <c r="P24" s="1203"/>
      <c r="Q24" s="1204">
        <v>0</v>
      </c>
      <c r="R24" s="1205">
        <v>0</v>
      </c>
      <c r="S24" s="1205">
        <v>0</v>
      </c>
    </row>
    <row r="25" spans="1:19" x14ac:dyDescent="0.2">
      <c r="A25" s="330" t="s">
        <v>587</v>
      </c>
      <c r="B25" s="1203"/>
      <c r="C25" s="1203"/>
      <c r="D25" s="1206">
        <f>+D15</f>
        <v>24.5</v>
      </c>
      <c r="E25" s="1206">
        <f t="shared" si="5"/>
        <v>24.5</v>
      </c>
      <c r="F25" s="1206">
        <f t="shared" si="5"/>
        <v>24.5</v>
      </c>
      <c r="H25" s="1462"/>
      <c r="I25" s="1462"/>
      <c r="J25" s="69">
        <f t="shared" si="6"/>
        <v>0</v>
      </c>
      <c r="K25" s="69">
        <f t="shared" si="6"/>
        <v>0</v>
      </c>
      <c r="L25" s="69">
        <f t="shared" si="6"/>
        <v>0</v>
      </c>
      <c r="N25" s="330" t="s">
        <v>587</v>
      </c>
      <c r="O25" s="1203"/>
      <c r="P25" s="1203"/>
      <c r="Q25" s="1207">
        <v>24.5</v>
      </c>
      <c r="R25" s="1208">
        <v>24.5</v>
      </c>
      <c r="S25" s="1208">
        <v>24.5</v>
      </c>
    </row>
    <row r="26" spans="1:19" x14ac:dyDescent="0.2">
      <c r="A26" s="327" t="s">
        <v>588</v>
      </c>
      <c r="B26" s="1203"/>
      <c r="C26" s="1203"/>
      <c r="D26" s="341">
        <f>+D24/D25</f>
        <v>0</v>
      </c>
      <c r="E26" s="1209">
        <f t="shared" si="5"/>
        <v>0</v>
      </c>
      <c r="F26" s="1209">
        <f t="shared" si="5"/>
        <v>0</v>
      </c>
      <c r="H26" s="1462"/>
      <c r="I26" s="1462"/>
      <c r="J26" s="1054">
        <f t="shared" si="6"/>
        <v>0</v>
      </c>
      <c r="K26" s="50">
        <f t="shared" si="6"/>
        <v>0</v>
      </c>
      <c r="L26" s="50">
        <f t="shared" si="6"/>
        <v>0</v>
      </c>
      <c r="N26" s="327" t="s">
        <v>588</v>
      </c>
      <c r="O26" s="1203"/>
      <c r="P26" s="1203"/>
      <c r="Q26" s="341">
        <v>0</v>
      </c>
      <c r="R26" s="1209">
        <v>0</v>
      </c>
      <c r="S26" s="1209">
        <v>0</v>
      </c>
    </row>
    <row r="27" spans="1:19" x14ac:dyDescent="0.2">
      <c r="A27" s="327" t="s">
        <v>589</v>
      </c>
      <c r="B27" s="1203"/>
      <c r="C27" s="1203"/>
      <c r="D27" s="1209">
        <v>155</v>
      </c>
      <c r="E27" s="1209">
        <f t="shared" si="5"/>
        <v>155</v>
      </c>
      <c r="F27" s="1209">
        <f t="shared" si="5"/>
        <v>155</v>
      </c>
      <c r="H27" s="1462"/>
      <c r="I27" s="1462"/>
      <c r="J27" s="69">
        <f t="shared" si="6"/>
        <v>0</v>
      </c>
      <c r="K27" s="50">
        <f t="shared" si="6"/>
        <v>0</v>
      </c>
      <c r="L27" s="50">
        <f t="shared" si="6"/>
        <v>0</v>
      </c>
      <c r="N27" s="327" t="s">
        <v>589</v>
      </c>
      <c r="O27" s="1203"/>
      <c r="P27" s="1203"/>
      <c r="Q27" s="144">
        <v>155</v>
      </c>
      <c r="R27" s="1209">
        <v>155</v>
      </c>
      <c r="S27" s="1209">
        <v>155</v>
      </c>
    </row>
    <row r="28" spans="1:19" x14ac:dyDescent="0.2">
      <c r="A28" s="327" t="s">
        <v>590</v>
      </c>
      <c r="B28" s="1203"/>
      <c r="C28" s="1203"/>
      <c r="D28" s="1210">
        <f>D26*D27</f>
        <v>0</v>
      </c>
      <c r="E28" s="1209">
        <f t="shared" si="5"/>
        <v>0</v>
      </c>
      <c r="F28" s="1209">
        <f t="shared" si="5"/>
        <v>0</v>
      </c>
      <c r="H28" s="1462"/>
      <c r="I28" s="1462"/>
      <c r="J28" s="1054">
        <f t="shared" si="6"/>
        <v>0</v>
      </c>
      <c r="K28" s="50">
        <f t="shared" si="6"/>
        <v>0</v>
      </c>
      <c r="L28" s="50">
        <f t="shared" si="6"/>
        <v>0</v>
      </c>
      <c r="N28" s="327" t="s">
        <v>590</v>
      </c>
      <c r="O28" s="1203"/>
      <c r="P28" s="1203"/>
      <c r="Q28" s="341">
        <v>0</v>
      </c>
      <c r="R28" s="1209">
        <v>0</v>
      </c>
      <c r="S28" s="1209">
        <v>0</v>
      </c>
    </row>
    <row r="29" spans="1:19" x14ac:dyDescent="0.2">
      <c r="A29" s="327" t="s">
        <v>591</v>
      </c>
      <c r="B29" s="1203"/>
      <c r="C29" s="1203"/>
      <c r="D29" s="1204">
        <f>E1</f>
        <v>4.5</v>
      </c>
      <c r="E29" s="1205">
        <f>+D29</f>
        <v>4.5</v>
      </c>
      <c r="F29" s="1205">
        <f t="shared" si="5"/>
        <v>4.5</v>
      </c>
      <c r="H29" s="1462"/>
      <c r="I29" s="1462"/>
      <c r="J29" s="1054">
        <f t="shared" si="6"/>
        <v>0</v>
      </c>
      <c r="K29" s="50">
        <f t="shared" si="6"/>
        <v>0</v>
      </c>
      <c r="L29" s="50">
        <f t="shared" si="6"/>
        <v>0</v>
      </c>
      <c r="N29" s="327" t="s">
        <v>591</v>
      </c>
      <c r="O29" s="1203"/>
      <c r="P29" s="1203"/>
      <c r="Q29" s="1197">
        <v>4.5</v>
      </c>
      <c r="R29" s="1205">
        <v>4.5</v>
      </c>
      <c r="S29" s="1205">
        <v>4.5</v>
      </c>
    </row>
    <row r="30" spans="1:19" x14ac:dyDescent="0.2">
      <c r="A30" s="1198" t="s">
        <v>592</v>
      </c>
      <c r="B30" s="1211"/>
      <c r="C30" s="1211"/>
      <c r="D30" s="1212">
        <f>D28/D29</f>
        <v>0</v>
      </c>
      <c r="E30" s="1200">
        <f>E28/E29</f>
        <v>0</v>
      </c>
      <c r="F30" s="1200">
        <f>F28/F29</f>
        <v>0</v>
      </c>
      <c r="H30" s="1464"/>
      <c r="I30" s="1464"/>
      <c r="J30" s="1465">
        <f t="shared" si="6"/>
        <v>0</v>
      </c>
      <c r="K30" s="1461">
        <f t="shared" si="6"/>
        <v>0</v>
      </c>
      <c r="L30" s="1461">
        <f t="shared" si="6"/>
        <v>0</v>
      </c>
      <c r="N30" s="1198" t="s">
        <v>592</v>
      </c>
      <c r="O30" s="1211"/>
      <c r="P30" s="1211"/>
      <c r="Q30" s="1212">
        <v>0</v>
      </c>
      <c r="R30" s="1200">
        <v>0</v>
      </c>
      <c r="S30" s="1200">
        <v>0</v>
      </c>
    </row>
    <row r="31" spans="1:19" x14ac:dyDescent="0.2">
      <c r="A31" s="1202"/>
      <c r="B31" s="1181"/>
      <c r="C31" s="1181"/>
      <c r="D31" s="1181"/>
      <c r="E31" s="1182"/>
      <c r="F31" s="1182"/>
      <c r="H31" s="1456"/>
      <c r="I31" s="1456"/>
      <c r="J31" s="1456"/>
      <c r="K31" s="1457"/>
      <c r="L31" s="1457"/>
      <c r="N31" s="1202"/>
      <c r="O31" s="1181"/>
      <c r="P31" s="1181"/>
      <c r="Q31" s="1181"/>
      <c r="R31" s="1182"/>
      <c r="S31" s="1182"/>
    </row>
    <row r="32" spans="1:19" x14ac:dyDescent="0.2">
      <c r="A32" s="1213" t="s">
        <v>594</v>
      </c>
      <c r="B32" s="1214">
        <v>3.6987776623692885</v>
      </c>
      <c r="C32" s="1214">
        <v>3.3827141967645913</v>
      </c>
      <c r="D32" s="1214">
        <v>2.19</v>
      </c>
      <c r="E32" s="1214">
        <v>2.35</v>
      </c>
      <c r="F32" s="91">
        <f>AVERAGE(C32:E32)</f>
        <v>2.6409047322548638</v>
      </c>
      <c r="H32" s="1214">
        <f t="shared" ref="H32:L33" si="7">IFERROR(B32-O32,"")</f>
        <v>0</v>
      </c>
      <c r="I32" s="1214">
        <f t="shared" si="7"/>
        <v>0</v>
      </c>
      <c r="J32" s="1214">
        <f t="shared" si="7"/>
        <v>0</v>
      </c>
      <c r="K32" s="1214">
        <f t="shared" si="7"/>
        <v>5.0000000000000266E-2</v>
      </c>
      <c r="L32" s="91">
        <f t="shared" si="7"/>
        <v>1.6666666666666607E-2</v>
      </c>
      <c r="N32" s="1213" t="s">
        <v>595</v>
      </c>
      <c r="O32" s="1214">
        <v>3.6987776623692885</v>
      </c>
      <c r="P32" s="1214">
        <v>3.3827141967645913</v>
      </c>
      <c r="Q32" s="1214">
        <v>2.19</v>
      </c>
      <c r="R32" s="1214">
        <v>2.2999999999999998</v>
      </c>
      <c r="S32" s="91">
        <v>2.6242380655881972</v>
      </c>
    </row>
    <row r="33" spans="1:19" x14ac:dyDescent="0.2">
      <c r="A33" s="1215" t="s">
        <v>596</v>
      </c>
      <c r="B33" s="1216">
        <f>+B20*B32</f>
        <v>1280826.8580334096</v>
      </c>
      <c r="C33" s="1216">
        <f t="shared" ref="C33:F33" si="8">+C20*C32</f>
        <v>729493.1387698116</v>
      </c>
      <c r="D33" s="1216">
        <f>+D20*D32</f>
        <v>163305.02132156646</v>
      </c>
      <c r="E33" s="1217">
        <f t="shared" si="8"/>
        <v>0</v>
      </c>
      <c r="F33" s="1217">
        <f t="shared" si="8"/>
        <v>0</v>
      </c>
      <c r="G33"/>
      <c r="H33" s="1216">
        <f t="shared" si="7"/>
        <v>0</v>
      </c>
      <c r="I33" s="1216">
        <f t="shared" si="7"/>
        <v>0</v>
      </c>
      <c r="J33" s="1216">
        <f t="shared" si="7"/>
        <v>0</v>
      </c>
      <c r="K33" s="1217">
        <f t="shared" si="7"/>
        <v>0</v>
      </c>
      <c r="L33" s="1217">
        <f t="shared" si="7"/>
        <v>0</v>
      </c>
      <c r="N33" s="1198" t="s">
        <v>597</v>
      </c>
      <c r="O33" s="1216">
        <v>1280826.8580334096</v>
      </c>
      <c r="P33" s="1216">
        <v>729493.1387698116</v>
      </c>
      <c r="Q33" s="1216">
        <v>163305.02132156646</v>
      </c>
      <c r="R33" s="1217">
        <v>0</v>
      </c>
      <c r="S33" s="1217">
        <v>0</v>
      </c>
    </row>
    <row r="34" spans="1:19" x14ac:dyDescent="0.2">
      <c r="A34" s="1202"/>
      <c r="B34" s="1218"/>
      <c r="C34" s="1218"/>
      <c r="D34" s="1218"/>
      <c r="E34" s="59"/>
      <c r="F34" s="59"/>
      <c r="H34" s="1218"/>
      <c r="I34" s="1218"/>
      <c r="J34" s="1218"/>
      <c r="K34" s="59"/>
      <c r="L34" s="59"/>
      <c r="N34" s="1202"/>
      <c r="O34" s="1218"/>
      <c r="P34" s="1218"/>
      <c r="Q34" s="1218"/>
      <c r="R34" s="59"/>
      <c r="S34" s="59"/>
    </row>
    <row r="35" spans="1:19" x14ac:dyDescent="0.2">
      <c r="A35" s="1219" t="s">
        <v>598</v>
      </c>
      <c r="B35" s="341"/>
      <c r="C35" s="341"/>
      <c r="D35" s="341"/>
      <c r="E35" s="144"/>
      <c r="F35" s="144"/>
      <c r="H35" s="341"/>
      <c r="I35" s="341"/>
      <c r="J35" s="341"/>
      <c r="K35" s="144"/>
      <c r="L35" s="144"/>
      <c r="N35" s="1219" t="s">
        <v>598</v>
      </c>
      <c r="O35" s="341"/>
      <c r="P35" s="341"/>
      <c r="Q35" s="341"/>
      <c r="R35" s="144"/>
      <c r="S35" s="144"/>
    </row>
    <row r="36" spans="1:19" x14ac:dyDescent="0.2">
      <c r="A36" s="342" t="s">
        <v>599</v>
      </c>
      <c r="B36" s="1220">
        <v>1.25</v>
      </c>
      <c r="C36" s="1220">
        <v>10</v>
      </c>
      <c r="D36" s="1221">
        <v>12</v>
      </c>
      <c r="E36" s="960">
        <v>0</v>
      </c>
      <c r="F36" s="960">
        <f t="shared" ref="E36:F40" si="9">+E36</f>
        <v>0</v>
      </c>
      <c r="H36" s="1016">
        <f t="shared" ref="H36:L43" si="10">IFERROR(B36-O36,"")</f>
        <v>0</v>
      </c>
      <c r="I36" s="1016">
        <f t="shared" si="10"/>
        <v>0</v>
      </c>
      <c r="J36" s="1016">
        <f t="shared" si="10"/>
        <v>0</v>
      </c>
      <c r="K36" s="1466">
        <f t="shared" si="10"/>
        <v>0</v>
      </c>
      <c r="L36" s="1466">
        <f t="shared" si="10"/>
        <v>0</v>
      </c>
      <c r="N36" s="342" t="s">
        <v>599</v>
      </c>
      <c r="O36" s="1220">
        <v>1.25</v>
      </c>
      <c r="P36" s="1220">
        <v>10</v>
      </c>
      <c r="Q36" s="1221">
        <v>12</v>
      </c>
      <c r="R36" s="960">
        <v>0</v>
      </c>
      <c r="S36" s="960">
        <v>0</v>
      </c>
    </row>
    <row r="37" spans="1:19" x14ac:dyDescent="0.2">
      <c r="A37" s="330" t="s">
        <v>600</v>
      </c>
      <c r="B37" s="1189">
        <f>B36/SUM(B36,B13)*B9</f>
        <v>21683.072941176521</v>
      </c>
      <c r="C37" s="1189">
        <f>C36/SUM(C36,C13)*C9</f>
        <v>165992.64086956513</v>
      </c>
      <c r="D37" s="1189">
        <f>D36/SUM(D36,D13)*D9</f>
        <v>137977.80324324325</v>
      </c>
      <c r="E37" s="1222">
        <f>+E9</f>
        <v>0</v>
      </c>
      <c r="F37" s="1222">
        <f>+F9</f>
        <v>0</v>
      </c>
      <c r="H37" s="1016">
        <f t="shared" si="10"/>
        <v>0</v>
      </c>
      <c r="I37" s="1016">
        <f t="shared" si="10"/>
        <v>0</v>
      </c>
      <c r="J37" s="1016">
        <f t="shared" si="10"/>
        <v>0</v>
      </c>
      <c r="K37" s="1466">
        <f t="shared" si="10"/>
        <v>0</v>
      </c>
      <c r="L37" s="1466">
        <f t="shared" si="10"/>
        <v>0</v>
      </c>
      <c r="N37" s="330" t="s">
        <v>601</v>
      </c>
      <c r="O37" s="1189">
        <v>21683.072941176521</v>
      </c>
      <c r="P37" s="1189">
        <v>165992.64086956513</v>
      </c>
      <c r="Q37" s="1189">
        <v>137977.80324324325</v>
      </c>
      <c r="R37" s="1222">
        <v>0</v>
      </c>
      <c r="S37" s="1222">
        <v>0</v>
      </c>
    </row>
    <row r="38" spans="1:19" x14ac:dyDescent="0.2">
      <c r="A38" s="342" t="s">
        <v>602</v>
      </c>
      <c r="B38" s="1207">
        <f t="shared" ref="B38:D38" si="11">B15</f>
        <v>24.49</v>
      </c>
      <c r="C38" s="1207">
        <f t="shared" si="11"/>
        <v>24.46</v>
      </c>
      <c r="D38" s="1207">
        <f t="shared" si="11"/>
        <v>24.5</v>
      </c>
      <c r="E38" s="960">
        <f t="shared" si="9"/>
        <v>24.5</v>
      </c>
      <c r="F38" s="960">
        <f t="shared" si="9"/>
        <v>24.5</v>
      </c>
      <c r="H38" s="1016">
        <f t="shared" si="10"/>
        <v>0</v>
      </c>
      <c r="I38" s="1016">
        <f t="shared" si="10"/>
        <v>0</v>
      </c>
      <c r="J38" s="1016">
        <f t="shared" si="10"/>
        <v>0</v>
      </c>
      <c r="K38" s="1466">
        <f t="shared" si="10"/>
        <v>0</v>
      </c>
      <c r="L38" s="1466">
        <f t="shared" si="10"/>
        <v>0</v>
      </c>
      <c r="N38" s="342" t="s">
        <v>602</v>
      </c>
      <c r="O38" s="1207">
        <v>24.49</v>
      </c>
      <c r="P38" s="1207">
        <v>24.46</v>
      </c>
      <c r="Q38" s="1207">
        <v>24.5</v>
      </c>
      <c r="R38" s="960">
        <v>24.5</v>
      </c>
      <c r="S38" s="960">
        <v>24.5</v>
      </c>
    </row>
    <row r="39" spans="1:19" x14ac:dyDescent="0.2">
      <c r="A39" s="327" t="s">
        <v>588</v>
      </c>
      <c r="B39" s="1193">
        <f>+B37/B38</f>
        <v>885.38476689165054</v>
      </c>
      <c r="C39" s="1193">
        <f>+C37/C38</f>
        <v>6786.2894877172985</v>
      </c>
      <c r="D39" s="1193">
        <f>+D37/D38</f>
        <v>5631.7470711527858</v>
      </c>
      <c r="E39" s="1192">
        <v>0</v>
      </c>
      <c r="F39" s="1192">
        <f t="shared" si="9"/>
        <v>0</v>
      </c>
      <c r="H39" s="1016">
        <f t="shared" si="10"/>
        <v>0</v>
      </c>
      <c r="I39" s="1016">
        <f t="shared" si="10"/>
        <v>0</v>
      </c>
      <c r="J39" s="1016">
        <f t="shared" si="10"/>
        <v>0</v>
      </c>
      <c r="K39" s="1466">
        <f t="shared" si="10"/>
        <v>0</v>
      </c>
      <c r="L39" s="1466">
        <f t="shared" si="10"/>
        <v>0</v>
      </c>
      <c r="N39" s="327" t="s">
        <v>588</v>
      </c>
      <c r="O39" s="1193">
        <v>885.38476689165054</v>
      </c>
      <c r="P39" s="1193">
        <v>6786.2894877172985</v>
      </c>
      <c r="Q39" s="1193">
        <v>5631.7470711527858</v>
      </c>
      <c r="R39" s="1192">
        <v>0</v>
      </c>
      <c r="S39" s="1192">
        <v>0</v>
      </c>
    </row>
    <row r="40" spans="1:19" x14ac:dyDescent="0.2">
      <c r="A40" s="327" t="s">
        <v>589</v>
      </c>
      <c r="B40" s="1193">
        <f>+B17</f>
        <v>110</v>
      </c>
      <c r="C40" s="1196">
        <f>+C17</f>
        <v>110</v>
      </c>
      <c r="D40" s="1193">
        <v>110</v>
      </c>
      <c r="E40" s="1192">
        <f t="shared" si="9"/>
        <v>110</v>
      </c>
      <c r="F40" s="1192">
        <f t="shared" si="9"/>
        <v>110</v>
      </c>
      <c r="H40" s="1016">
        <f t="shared" si="10"/>
        <v>0</v>
      </c>
      <c r="I40" s="1016">
        <f t="shared" si="10"/>
        <v>0</v>
      </c>
      <c r="J40" s="1016">
        <f t="shared" si="10"/>
        <v>0</v>
      </c>
      <c r="K40" s="1466">
        <f t="shared" si="10"/>
        <v>0</v>
      </c>
      <c r="L40" s="1466">
        <f t="shared" si="10"/>
        <v>0</v>
      </c>
      <c r="N40" s="327" t="s">
        <v>589</v>
      </c>
      <c r="O40" s="1193">
        <v>110</v>
      </c>
      <c r="P40" s="1196">
        <v>110</v>
      </c>
      <c r="Q40" s="1193">
        <v>110</v>
      </c>
      <c r="R40" s="1192">
        <v>110</v>
      </c>
      <c r="S40" s="1192">
        <v>110</v>
      </c>
    </row>
    <row r="41" spans="1:19" x14ac:dyDescent="0.2">
      <c r="A41" s="327" t="s">
        <v>590</v>
      </c>
      <c r="B41" s="1193">
        <f>+B39*B40</f>
        <v>97392.324358081562</v>
      </c>
      <c r="C41" s="1193">
        <f>+C39*C40</f>
        <v>746491.84364890284</v>
      </c>
      <c r="D41" s="1193">
        <f>+D39*D40</f>
        <v>619492.17782680644</v>
      </c>
      <c r="E41" s="1197">
        <f>+E39*E40</f>
        <v>0</v>
      </c>
      <c r="F41" s="1197">
        <f>+F39*F40</f>
        <v>0</v>
      </c>
      <c r="H41" s="1016">
        <f t="shared" si="10"/>
        <v>0</v>
      </c>
      <c r="I41" s="1016">
        <f t="shared" si="10"/>
        <v>0</v>
      </c>
      <c r="J41" s="1016">
        <f t="shared" si="10"/>
        <v>0</v>
      </c>
      <c r="K41" s="1466">
        <f t="shared" si="10"/>
        <v>0</v>
      </c>
      <c r="L41" s="1466">
        <f t="shared" si="10"/>
        <v>0</v>
      </c>
      <c r="N41" s="327" t="s">
        <v>590</v>
      </c>
      <c r="O41" s="1193">
        <v>97392.324358081562</v>
      </c>
      <c r="P41" s="1193">
        <v>746491.84364890284</v>
      </c>
      <c r="Q41" s="1193">
        <v>619492.17782680644</v>
      </c>
      <c r="R41" s="1197">
        <v>0</v>
      </c>
      <c r="S41" s="1197">
        <v>0</v>
      </c>
    </row>
    <row r="42" spans="1:19" x14ac:dyDescent="0.2">
      <c r="A42" s="327" t="s">
        <v>591</v>
      </c>
      <c r="B42" s="1223">
        <v>2.2000000000000002</v>
      </c>
      <c r="C42" s="1223">
        <f>B42</f>
        <v>2.2000000000000002</v>
      </c>
      <c r="D42" s="1223">
        <f>C42</f>
        <v>2.2000000000000002</v>
      </c>
      <c r="E42" s="1197">
        <f>D42</f>
        <v>2.2000000000000002</v>
      </c>
      <c r="F42" s="1197">
        <f>E42</f>
        <v>2.2000000000000002</v>
      </c>
      <c r="H42" s="1016">
        <f t="shared" si="10"/>
        <v>0</v>
      </c>
      <c r="I42" s="1016">
        <f t="shared" si="10"/>
        <v>0</v>
      </c>
      <c r="J42" s="1016">
        <f t="shared" si="10"/>
        <v>0</v>
      </c>
      <c r="K42" s="1466">
        <f t="shared" si="10"/>
        <v>0</v>
      </c>
      <c r="L42" s="1466">
        <f t="shared" si="10"/>
        <v>0</v>
      </c>
      <c r="N42" s="327" t="s">
        <v>591</v>
      </c>
      <c r="O42" s="1223">
        <v>2.2000000000000002</v>
      </c>
      <c r="P42" s="1223">
        <v>2.2000000000000002</v>
      </c>
      <c r="Q42" s="1223">
        <v>2.2000000000000002</v>
      </c>
      <c r="R42" s="1197">
        <v>2.2000000000000002</v>
      </c>
      <c r="S42" s="1197">
        <v>2.2000000000000002</v>
      </c>
    </row>
    <row r="43" spans="1:19" x14ac:dyDescent="0.2">
      <c r="A43" s="1198" t="s">
        <v>592</v>
      </c>
      <c r="B43" s="1199">
        <f>+B41/B42</f>
        <v>44269.238344582525</v>
      </c>
      <c r="C43" s="1199">
        <f>+C41/C42</f>
        <v>339314.47438586492</v>
      </c>
      <c r="D43" s="1199">
        <f>+D41/D42</f>
        <v>281587.35355763929</v>
      </c>
      <c r="E43" s="1200">
        <f>+E41/E42</f>
        <v>0</v>
      </c>
      <c r="F43" s="1200">
        <f>+F41/F42</f>
        <v>0</v>
      </c>
      <c r="H43" s="1460">
        <f t="shared" si="10"/>
        <v>0</v>
      </c>
      <c r="I43" s="1460">
        <f t="shared" si="10"/>
        <v>0</v>
      </c>
      <c r="J43" s="1460">
        <f t="shared" si="10"/>
        <v>0</v>
      </c>
      <c r="K43" s="1467">
        <f t="shared" si="10"/>
        <v>0</v>
      </c>
      <c r="L43" s="1467">
        <f t="shared" si="10"/>
        <v>0</v>
      </c>
      <c r="N43" s="1198" t="s">
        <v>592</v>
      </c>
      <c r="O43" s="1199">
        <v>44269.238344582525</v>
      </c>
      <c r="P43" s="1199">
        <v>339314.47438586492</v>
      </c>
      <c r="Q43" s="1199">
        <v>281587.35355763929</v>
      </c>
      <c r="R43" s="1224">
        <v>0</v>
      </c>
      <c r="S43" s="1224">
        <v>0</v>
      </c>
    </row>
    <row r="44" spans="1:19" x14ac:dyDescent="0.2">
      <c r="A44" s="1202"/>
      <c r="B44" s="1181"/>
      <c r="C44" s="1181"/>
      <c r="D44" s="1181"/>
      <c r="E44" s="1182"/>
      <c r="F44" s="1182"/>
      <c r="H44" s="1456"/>
      <c r="I44" s="1456"/>
      <c r="J44" s="1456"/>
      <c r="K44" s="1457"/>
      <c r="L44" s="1457"/>
      <c r="N44" s="1202"/>
      <c r="O44" s="1181"/>
      <c r="P44" s="1181"/>
      <c r="Q44" s="1181"/>
      <c r="R44" s="1182"/>
      <c r="S44" s="1182"/>
    </row>
    <row r="45" spans="1:19" x14ac:dyDescent="0.2">
      <c r="A45" s="1202"/>
      <c r="B45" s="1181"/>
      <c r="C45" s="1181"/>
      <c r="D45" s="1181"/>
      <c r="E45" s="1182"/>
      <c r="F45" s="1182"/>
      <c r="H45" s="1456"/>
      <c r="I45" s="1456"/>
      <c r="J45" s="1456"/>
      <c r="K45" s="1457"/>
      <c r="L45" s="1457"/>
      <c r="N45" s="1202"/>
      <c r="O45" s="1181"/>
      <c r="P45" s="1181"/>
      <c r="Q45" s="1181"/>
      <c r="R45" s="1182"/>
      <c r="S45" s="1182"/>
    </row>
    <row r="46" spans="1:19" x14ac:dyDescent="0.2">
      <c r="A46" s="1219" t="s">
        <v>598</v>
      </c>
      <c r="B46" s="1181"/>
      <c r="C46" s="1181"/>
      <c r="D46" s="1181"/>
      <c r="E46" s="1182"/>
      <c r="F46" s="1182"/>
      <c r="H46" s="1456"/>
      <c r="I46" s="1456"/>
      <c r="J46" s="1456"/>
      <c r="K46" s="1457"/>
      <c r="L46" s="1457"/>
      <c r="N46" s="1219" t="s">
        <v>598</v>
      </c>
      <c r="O46" s="1181"/>
      <c r="P46" s="1181"/>
      <c r="Q46" s="1181"/>
      <c r="R46" s="1182"/>
      <c r="S46" s="1182"/>
    </row>
    <row r="47" spans="1:19" x14ac:dyDescent="0.2">
      <c r="A47" s="342" t="s">
        <v>599</v>
      </c>
      <c r="B47" s="1203"/>
      <c r="C47" s="1203"/>
      <c r="D47" s="1181">
        <v>15</v>
      </c>
      <c r="E47" s="1182">
        <v>15</v>
      </c>
      <c r="F47" s="1182">
        <v>15</v>
      </c>
      <c r="H47" s="1462"/>
      <c r="I47" s="1462"/>
      <c r="J47" s="1456">
        <f t="shared" ref="J47:L54" si="12">IFERROR(D47-Q47,"")</f>
        <v>0</v>
      </c>
      <c r="K47" s="1457">
        <f t="shared" si="12"/>
        <v>0</v>
      </c>
      <c r="L47" s="1457">
        <f t="shared" si="12"/>
        <v>0</v>
      </c>
      <c r="N47" s="342" t="s">
        <v>599</v>
      </c>
      <c r="O47" s="1203"/>
      <c r="P47" s="1203"/>
      <c r="Q47" s="1181">
        <v>15</v>
      </c>
      <c r="R47" s="1182">
        <v>15</v>
      </c>
      <c r="S47" s="1182">
        <v>15</v>
      </c>
    </row>
    <row r="48" spans="1:19" x14ac:dyDescent="0.2">
      <c r="A48" s="330" t="s">
        <v>600</v>
      </c>
      <c r="B48" s="1203"/>
      <c r="C48" s="1203"/>
      <c r="D48" s="1181">
        <f>D47/SUM(D23,D47)*D10</f>
        <v>184685.84000000003</v>
      </c>
      <c r="E48" s="1182">
        <f>+E10</f>
        <v>398846.10947830055</v>
      </c>
      <c r="F48" s="1182">
        <f>F10</f>
        <v>381297.11987335293</v>
      </c>
      <c r="H48" s="1462"/>
      <c r="I48" s="1462"/>
      <c r="J48" s="1456">
        <f t="shared" si="12"/>
        <v>0</v>
      </c>
      <c r="K48" s="1457">
        <f t="shared" si="12"/>
        <v>2734.8290783006232</v>
      </c>
      <c r="L48" s="1457">
        <f t="shared" si="12"/>
        <v>-6856.5220519345603</v>
      </c>
      <c r="N48" s="330" t="s">
        <v>601</v>
      </c>
      <c r="O48" s="1203"/>
      <c r="P48" s="1203"/>
      <c r="Q48" s="1181">
        <v>184685.84000000003</v>
      </c>
      <c r="R48" s="1182">
        <v>396111.28039999993</v>
      </c>
      <c r="S48" s="1182">
        <v>388153.64192528749</v>
      </c>
    </row>
    <row r="49" spans="1:19" x14ac:dyDescent="0.2">
      <c r="A49" s="342" t="s">
        <v>602</v>
      </c>
      <c r="B49" s="1203"/>
      <c r="C49" s="1203"/>
      <c r="D49" s="1225">
        <f>+D25</f>
        <v>24.5</v>
      </c>
      <c r="E49" s="1226">
        <f t="shared" ref="E49:F51" si="13">+D49</f>
        <v>24.5</v>
      </c>
      <c r="F49" s="1226">
        <f t="shared" si="13"/>
        <v>24.5</v>
      </c>
      <c r="H49" s="1462"/>
      <c r="I49" s="1462"/>
      <c r="J49" s="1456">
        <f t="shared" si="12"/>
        <v>0</v>
      </c>
      <c r="K49" s="1457">
        <f t="shared" si="12"/>
        <v>0</v>
      </c>
      <c r="L49" s="1457">
        <f t="shared" si="12"/>
        <v>0</v>
      </c>
      <c r="N49" s="342" t="s">
        <v>602</v>
      </c>
      <c r="O49" s="1203"/>
      <c r="P49" s="1203"/>
      <c r="Q49" s="1225">
        <v>24.5</v>
      </c>
      <c r="R49" s="1226">
        <v>24.5</v>
      </c>
      <c r="S49" s="1226">
        <v>24.5</v>
      </c>
    </row>
    <row r="50" spans="1:19" x14ac:dyDescent="0.2">
      <c r="A50" s="327" t="s">
        <v>588</v>
      </c>
      <c r="B50" s="1203"/>
      <c r="C50" s="1203"/>
      <c r="D50" s="1181">
        <f>+D48/D49</f>
        <v>7538.1975510204093</v>
      </c>
      <c r="E50" s="1182">
        <f>E48/E49</f>
        <v>16279.433039930635</v>
      </c>
      <c r="F50" s="1182">
        <f>F48/F49</f>
        <v>15563.147749932772</v>
      </c>
      <c r="H50" s="1462"/>
      <c r="I50" s="1462"/>
      <c r="J50" s="1456">
        <f t="shared" si="12"/>
        <v>0</v>
      </c>
      <c r="K50" s="1457">
        <f t="shared" si="12"/>
        <v>111.62567666533141</v>
      </c>
      <c r="L50" s="1457">
        <f t="shared" si="12"/>
        <v>-279.85804293610454</v>
      </c>
      <c r="N50" s="327" t="s">
        <v>588</v>
      </c>
      <c r="O50" s="1203"/>
      <c r="P50" s="1203"/>
      <c r="Q50" s="1193">
        <v>7538.1975510204093</v>
      </c>
      <c r="R50" s="1182">
        <v>16167.807363265303</v>
      </c>
      <c r="S50" s="1182">
        <v>15843.005792868877</v>
      </c>
    </row>
    <row r="51" spans="1:19" x14ac:dyDescent="0.2">
      <c r="A51" s="327" t="s">
        <v>589</v>
      </c>
      <c r="B51" s="1203"/>
      <c r="C51" s="1203"/>
      <c r="D51" s="1181">
        <v>155</v>
      </c>
      <c r="E51" s="1182">
        <f t="shared" si="13"/>
        <v>155</v>
      </c>
      <c r="F51" s="1182">
        <f t="shared" si="13"/>
        <v>155</v>
      </c>
      <c r="H51" s="1462"/>
      <c r="I51" s="1462"/>
      <c r="J51" s="1456">
        <f t="shared" si="12"/>
        <v>0</v>
      </c>
      <c r="K51" s="1457">
        <f t="shared" si="12"/>
        <v>0</v>
      </c>
      <c r="L51" s="1457">
        <f t="shared" si="12"/>
        <v>0</v>
      </c>
      <c r="N51" s="327" t="s">
        <v>589</v>
      </c>
      <c r="O51" s="1203"/>
      <c r="P51" s="1203"/>
      <c r="Q51" s="1181">
        <v>155</v>
      </c>
      <c r="R51" s="1182">
        <v>155</v>
      </c>
      <c r="S51" s="1182">
        <v>155</v>
      </c>
    </row>
    <row r="52" spans="1:19" x14ac:dyDescent="0.2">
      <c r="A52" s="327" t="s">
        <v>590</v>
      </c>
      <c r="B52" s="1203"/>
      <c r="C52" s="1203"/>
      <c r="D52" s="1193">
        <f>+D51*D50</f>
        <v>1168420.6204081634</v>
      </c>
      <c r="E52" s="1193">
        <f>+E51*E50</f>
        <v>2523312.1211892483</v>
      </c>
      <c r="F52" s="1193">
        <f>+F51*F50</f>
        <v>2412287.9012395795</v>
      </c>
      <c r="H52" s="1462"/>
      <c r="I52" s="1462"/>
      <c r="J52" s="1468">
        <f t="shared" si="12"/>
        <v>0</v>
      </c>
      <c r="K52" s="1468">
        <f t="shared" si="12"/>
        <v>17301.979883126449</v>
      </c>
      <c r="L52" s="1468">
        <f t="shared" si="12"/>
        <v>-43377.9966550963</v>
      </c>
      <c r="N52" s="327" t="s">
        <v>590</v>
      </c>
      <c r="O52" s="1203"/>
      <c r="P52" s="1203"/>
      <c r="Q52" s="1193">
        <v>1168420.6204081634</v>
      </c>
      <c r="R52" s="1193">
        <v>2506010.1413061218</v>
      </c>
      <c r="S52" s="1193">
        <v>2455665.8978946758</v>
      </c>
    </row>
    <row r="53" spans="1:19" x14ac:dyDescent="0.2">
      <c r="A53" s="327" t="s">
        <v>591</v>
      </c>
      <c r="B53" s="1203"/>
      <c r="C53" s="1203"/>
      <c r="D53" s="1227">
        <f>E2</f>
        <v>2.2000000000000002</v>
      </c>
      <c r="E53" s="1227">
        <f>D53</f>
        <v>2.2000000000000002</v>
      </c>
      <c r="F53" s="1227">
        <f>E53</f>
        <v>2.2000000000000002</v>
      </c>
      <c r="H53" s="1462"/>
      <c r="I53" s="1462"/>
      <c r="J53" s="1468">
        <f t="shared" si="12"/>
        <v>0</v>
      </c>
      <c r="K53" s="1468">
        <f t="shared" si="12"/>
        <v>0</v>
      </c>
      <c r="L53" s="1468">
        <f t="shared" si="12"/>
        <v>0</v>
      </c>
      <c r="N53" s="327" t="s">
        <v>591</v>
      </c>
      <c r="O53" s="1203"/>
      <c r="P53" s="1203"/>
      <c r="Q53" s="1227">
        <v>2.2000000000000002</v>
      </c>
      <c r="R53" s="1227">
        <v>2.2000000000000002</v>
      </c>
      <c r="S53" s="1227">
        <v>2.2000000000000002</v>
      </c>
    </row>
    <row r="54" spans="1:19" x14ac:dyDescent="0.2">
      <c r="A54" s="1198" t="s">
        <v>592</v>
      </c>
      <c r="B54" s="1211"/>
      <c r="C54" s="1211"/>
      <c r="D54" s="1199">
        <f>+D52/D53</f>
        <v>531100.28200371063</v>
      </c>
      <c r="E54" s="1199">
        <f>+E52/E53</f>
        <v>1146960.0550860218</v>
      </c>
      <c r="F54" s="1199">
        <f>+F52/F53</f>
        <v>1096494.5005634453</v>
      </c>
      <c r="H54" s="1464"/>
      <c r="I54" s="1464"/>
      <c r="J54" s="1460">
        <f t="shared" si="12"/>
        <v>0</v>
      </c>
      <c r="K54" s="1460">
        <f t="shared" si="12"/>
        <v>7864.536310511874</v>
      </c>
      <c r="L54" s="1460">
        <f t="shared" si="12"/>
        <v>-19717.271206861828</v>
      </c>
      <c r="N54" s="1198" t="s">
        <v>592</v>
      </c>
      <c r="O54" s="1211"/>
      <c r="P54" s="1211"/>
      <c r="Q54" s="1199">
        <v>531100.28200371063</v>
      </c>
      <c r="R54" s="1199">
        <v>1139095.5187755099</v>
      </c>
      <c r="S54" s="1199">
        <v>1116211.7717703071</v>
      </c>
    </row>
    <row r="55" spans="1:19" x14ac:dyDescent="0.2">
      <c r="A55" s="1202"/>
      <c r="B55" s="1181"/>
      <c r="C55" s="1181"/>
      <c r="D55" s="1181"/>
      <c r="E55" s="1182"/>
      <c r="F55" s="1182"/>
      <c r="H55" s="1181"/>
      <c r="I55" s="1181"/>
      <c r="J55" s="1181"/>
      <c r="K55" s="1182"/>
      <c r="L55" s="1182"/>
      <c r="N55" s="1202"/>
      <c r="O55" s="1181"/>
      <c r="P55" s="1181"/>
      <c r="Q55" s="1181"/>
      <c r="R55" s="1182"/>
      <c r="S55" s="1182"/>
    </row>
    <row r="56" spans="1:19" x14ac:dyDescent="0.2">
      <c r="A56" s="330" t="s">
        <v>603</v>
      </c>
      <c r="B56" s="1228">
        <v>1.4282120978131347</v>
      </c>
      <c r="C56" s="1228">
        <v>1.3493823416425221</v>
      </c>
      <c r="D56" s="1228">
        <v>1.1266546153852901</v>
      </c>
      <c r="E56" s="1228">
        <v>1.21</v>
      </c>
      <c r="F56" s="91">
        <f>AVERAGE(C56:E56)</f>
        <v>1.2286789856759375</v>
      </c>
      <c r="H56" s="1228">
        <f t="shared" ref="H56:L57" si="14">IFERROR(B56-O56,"")</f>
        <v>0</v>
      </c>
      <c r="I56" s="1228">
        <f t="shared" si="14"/>
        <v>0</v>
      </c>
      <c r="J56" s="1228">
        <f t="shared" si="14"/>
        <v>0</v>
      </c>
      <c r="K56" s="1228">
        <f t="shared" si="14"/>
        <v>1.0000000000000009E-2</v>
      </c>
      <c r="L56" s="91">
        <f t="shared" si="14"/>
        <v>3.3333333333334103E-3</v>
      </c>
      <c r="N56" s="330" t="s">
        <v>604</v>
      </c>
      <c r="O56" s="1228">
        <v>1.4282120978131347</v>
      </c>
      <c r="P56" s="1228">
        <v>1.3493823416425221</v>
      </c>
      <c r="Q56" s="1228">
        <v>1.1266546153852901</v>
      </c>
      <c r="R56" s="1228">
        <v>1.2</v>
      </c>
      <c r="S56" s="91">
        <v>1.2253456523426041</v>
      </c>
    </row>
    <row r="57" spans="1:19" x14ac:dyDescent="0.2">
      <c r="A57" s="1198" t="s">
        <v>605</v>
      </c>
      <c r="B57" s="1216">
        <f>SUM(B43,B54)*B56</f>
        <v>63225.861764705871</v>
      </c>
      <c r="C57" s="1216">
        <f>SUM(C43,C54)*C56</f>
        <v>457864.96000000002</v>
      </c>
      <c r="D57" s="1216">
        <f>SUM(D43,D54)*D56</f>
        <v>915618.27547175356</v>
      </c>
      <c r="E57" s="1217">
        <f>SUM(E43,E54)*E56</f>
        <v>1387821.6666540862</v>
      </c>
      <c r="F57" s="1217">
        <f>SUM(F43,F54)*F56</f>
        <v>1347239.7507515375</v>
      </c>
      <c r="G57"/>
      <c r="H57" s="1216">
        <f t="shared" si="14"/>
        <v>0</v>
      </c>
      <c r="I57" s="1216">
        <f t="shared" si="14"/>
        <v>0</v>
      </c>
      <c r="J57" s="1216">
        <f t="shared" si="14"/>
        <v>0</v>
      </c>
      <c r="K57" s="1217">
        <f t="shared" si="14"/>
        <v>20907.044123474276</v>
      </c>
      <c r="L57" s="1217">
        <f t="shared" si="14"/>
        <v>-20505.490880843252</v>
      </c>
      <c r="N57" s="1198" t="s">
        <v>605</v>
      </c>
      <c r="O57" s="1199">
        <v>63225.861764705871</v>
      </c>
      <c r="P57" s="1199">
        <v>457864.96000000002</v>
      </c>
      <c r="Q57" s="1199">
        <v>915618.27547175356</v>
      </c>
      <c r="R57" s="1199">
        <v>1366914.6225306119</v>
      </c>
      <c r="S57" s="1199">
        <v>1367745.2416323808</v>
      </c>
    </row>
    <row r="58" spans="1:19" x14ac:dyDescent="0.2">
      <c r="A58" s="327"/>
      <c r="B58" s="1229"/>
      <c r="C58" s="1229"/>
      <c r="D58" s="1229"/>
      <c r="E58" s="1230"/>
      <c r="F58" s="1230"/>
      <c r="H58" s="1229"/>
      <c r="I58" s="1229"/>
      <c r="J58" s="1229"/>
      <c r="K58" s="1230"/>
      <c r="L58" s="1230"/>
      <c r="N58" s="327"/>
      <c r="O58" s="1229"/>
      <c r="P58" s="1229"/>
      <c r="Q58" s="1229"/>
      <c r="R58" s="1230"/>
      <c r="S58" s="1230"/>
    </row>
    <row r="59" spans="1:19" x14ac:dyDescent="0.2">
      <c r="A59" s="347" t="s">
        <v>606</v>
      </c>
      <c r="B59" s="1231">
        <v>282849.20149999997</v>
      </c>
      <c r="C59" s="1231">
        <v>296809.87</v>
      </c>
      <c r="D59" s="1231">
        <v>291503.25</v>
      </c>
      <c r="E59" s="1232">
        <f>E!O14+E!N24+E!O46+E!O32+SUM(F.3!E18:E22)+E!N60</f>
        <v>295859.07968169928</v>
      </c>
      <c r="F59" s="1232">
        <f>+E!S14+E!S24+E!S32+E!S46+SUM(F.3!F18:F22)+E!R60</f>
        <v>295019.07276808959</v>
      </c>
      <c r="H59" s="1469">
        <f>IFERROR(B59-O59,"")</f>
        <v>0</v>
      </c>
      <c r="I59" s="1469">
        <f>IFERROR(C59-P59,"")</f>
        <v>0</v>
      </c>
      <c r="J59" s="1469">
        <f>IFERROR(D59-Q59,"")</f>
        <v>0</v>
      </c>
      <c r="K59" s="1470">
        <f>IFERROR(E59-R59,"")</f>
        <v>2783.6796816992573</v>
      </c>
      <c r="L59" s="1470">
        <f>IFERROR(F59-S59,"")</f>
        <v>7151.8543772849953</v>
      </c>
      <c r="N59" s="347" t="s">
        <v>606</v>
      </c>
      <c r="O59" s="1231">
        <v>282849.20149999997</v>
      </c>
      <c r="P59" s="1231">
        <v>296809.87</v>
      </c>
      <c r="Q59" s="1231">
        <v>291503.25</v>
      </c>
      <c r="R59" s="1232">
        <v>293075.40000000002</v>
      </c>
      <c r="S59" s="1232">
        <v>287867.2183908046</v>
      </c>
    </row>
    <row r="60" spans="1:19" x14ac:dyDescent="0.2">
      <c r="A60" s="1185"/>
      <c r="B60" s="1233"/>
      <c r="C60" s="1233"/>
      <c r="D60" s="1233"/>
      <c r="E60" s="1234"/>
      <c r="F60" s="1234"/>
      <c r="H60" s="1471"/>
      <c r="I60" s="1471"/>
      <c r="J60" s="1471"/>
      <c r="K60" s="1392"/>
      <c r="L60" s="1392"/>
      <c r="N60" s="1185"/>
      <c r="O60" s="1233"/>
      <c r="P60" s="1233"/>
      <c r="Q60" s="1233"/>
      <c r="R60" s="1234"/>
      <c r="S60" s="1234"/>
    </row>
    <row r="61" spans="1:19" x14ac:dyDescent="0.2">
      <c r="A61" s="1188" t="s">
        <v>583</v>
      </c>
      <c r="B61" s="1193"/>
      <c r="C61" s="1193"/>
      <c r="D61" s="1193"/>
      <c r="E61" s="1193"/>
      <c r="F61" s="1193"/>
      <c r="H61" s="1468"/>
      <c r="I61" s="1468"/>
      <c r="J61" s="1468"/>
      <c r="K61" s="1468"/>
      <c r="L61" s="1468"/>
      <c r="N61" s="1188" t="s">
        <v>583</v>
      </c>
      <c r="O61" s="1193"/>
      <c r="P61" s="1193"/>
      <c r="Q61" s="1193"/>
      <c r="R61" s="1193"/>
      <c r="S61" s="1193"/>
    </row>
    <row r="62" spans="1:19" x14ac:dyDescent="0.2">
      <c r="A62" s="1056" t="s">
        <v>593</v>
      </c>
      <c r="B62" s="144">
        <v>32</v>
      </c>
      <c r="C62" s="144">
        <v>33</v>
      </c>
      <c r="D62" s="144">
        <v>33</v>
      </c>
      <c r="E62" s="341">
        <f>+D62</f>
        <v>33</v>
      </c>
      <c r="F62" s="341">
        <f>+E62</f>
        <v>33</v>
      </c>
      <c r="H62" s="69">
        <f t="shared" ref="H62:L69" si="15">IFERROR(B62-O62,"")</f>
        <v>0</v>
      </c>
      <c r="I62" s="69">
        <f t="shared" si="15"/>
        <v>0</v>
      </c>
      <c r="J62" s="69">
        <f t="shared" si="15"/>
        <v>0</v>
      </c>
      <c r="K62" s="1054">
        <f t="shared" si="15"/>
        <v>0</v>
      </c>
      <c r="L62" s="1054">
        <f t="shared" si="15"/>
        <v>0</v>
      </c>
      <c r="N62" s="1056" t="s">
        <v>593</v>
      </c>
      <c r="O62" s="144">
        <v>32</v>
      </c>
      <c r="P62" s="144">
        <v>33</v>
      </c>
      <c r="Q62" s="144">
        <v>33</v>
      </c>
      <c r="R62" s="341">
        <v>33</v>
      </c>
      <c r="S62" s="341">
        <v>33</v>
      </c>
    </row>
    <row r="63" spans="1:19" x14ac:dyDescent="0.2">
      <c r="A63" s="1121" t="s">
        <v>585</v>
      </c>
      <c r="B63" s="1193">
        <f t="shared" ref="B63:F63" si="16">B59</f>
        <v>282849.20149999997</v>
      </c>
      <c r="C63" s="1193">
        <f t="shared" si="16"/>
        <v>296809.87</v>
      </c>
      <c r="D63" s="1193">
        <f t="shared" si="16"/>
        <v>291503.25</v>
      </c>
      <c r="E63" s="1193">
        <f>E59</f>
        <v>295859.07968169928</v>
      </c>
      <c r="F63" s="1193">
        <f t="shared" si="16"/>
        <v>295019.07276808959</v>
      </c>
      <c r="H63" s="69">
        <f t="shared" si="15"/>
        <v>0</v>
      </c>
      <c r="I63" s="69">
        <f t="shared" si="15"/>
        <v>0</v>
      </c>
      <c r="J63" s="69">
        <f t="shared" si="15"/>
        <v>0</v>
      </c>
      <c r="K63" s="1054">
        <f t="shared" si="15"/>
        <v>2783.6796816992573</v>
      </c>
      <c r="L63" s="1054">
        <f t="shared" si="15"/>
        <v>7151.8543772849953</v>
      </c>
      <c r="N63" s="1121" t="s">
        <v>586</v>
      </c>
      <c r="O63" s="1193">
        <v>282849.20149999997</v>
      </c>
      <c r="P63" s="1193">
        <v>296809.87</v>
      </c>
      <c r="Q63" s="1193">
        <v>291503.25</v>
      </c>
      <c r="R63" s="1193">
        <v>293075.40000000002</v>
      </c>
      <c r="S63" s="1193">
        <v>287867.2183908046</v>
      </c>
    </row>
    <row r="64" spans="1:19" x14ac:dyDescent="0.2">
      <c r="A64" s="330" t="s">
        <v>587</v>
      </c>
      <c r="B64" s="1194">
        <f>B63/B65</f>
        <v>21.23333094362285</v>
      </c>
      <c r="C64" s="1194">
        <f>C63/C65</f>
        <v>21.339411172622043</v>
      </c>
      <c r="D64" s="1194">
        <f>D63/D65</f>
        <v>21.39787491741907</v>
      </c>
      <c r="E64" s="1194">
        <f>+D64</f>
        <v>21.39787491741907</v>
      </c>
      <c r="F64" s="1194">
        <f>+E64</f>
        <v>21.39787491741907</v>
      </c>
      <c r="H64" s="69">
        <f t="shared" si="15"/>
        <v>0</v>
      </c>
      <c r="I64" s="69">
        <f t="shared" si="15"/>
        <v>0</v>
      </c>
      <c r="J64" s="69">
        <f t="shared" si="15"/>
        <v>0</v>
      </c>
      <c r="K64" s="1054">
        <f t="shared" si="15"/>
        <v>0</v>
      </c>
      <c r="L64" s="1054">
        <f t="shared" si="15"/>
        <v>0</v>
      </c>
      <c r="N64" s="330" t="s">
        <v>587</v>
      </c>
      <c r="O64" s="1194">
        <v>21.23333094362285</v>
      </c>
      <c r="P64" s="1194">
        <v>21.339411172622043</v>
      </c>
      <c r="Q64" s="1194">
        <v>21.39787491741907</v>
      </c>
      <c r="R64" s="1194">
        <v>21.39787491741907</v>
      </c>
      <c r="S64" s="1194">
        <v>21.39787491741907</v>
      </c>
    </row>
    <row r="65" spans="1:19" x14ac:dyDescent="0.2">
      <c r="A65" s="327" t="s">
        <v>588</v>
      </c>
      <c r="B65" s="1193">
        <v>13321</v>
      </c>
      <c r="C65" s="1193">
        <v>13909</v>
      </c>
      <c r="D65" s="1193">
        <v>13623</v>
      </c>
      <c r="E65" s="1193">
        <f>E63/E64</f>
        <v>13826.563657536542</v>
      </c>
      <c r="F65" s="1193">
        <f>F63/F64</f>
        <v>13787.307099731082</v>
      </c>
      <c r="H65" s="69">
        <f t="shared" si="15"/>
        <v>0</v>
      </c>
      <c r="I65" s="69">
        <f t="shared" si="15"/>
        <v>0</v>
      </c>
      <c r="J65" s="69">
        <f t="shared" si="15"/>
        <v>0</v>
      </c>
      <c r="K65" s="1054">
        <f t="shared" si="15"/>
        <v>130.09140825630129</v>
      </c>
      <c r="L65" s="1054">
        <f t="shared" si="15"/>
        <v>334.2319928911711</v>
      </c>
      <c r="N65" s="327" t="s">
        <v>588</v>
      </c>
      <c r="O65" s="1193">
        <v>13321</v>
      </c>
      <c r="P65" s="1193">
        <v>13909</v>
      </c>
      <c r="Q65" s="1193">
        <v>13623</v>
      </c>
      <c r="R65" s="1193">
        <v>13696.472249280241</v>
      </c>
      <c r="S65" s="1193">
        <v>13453.075106839911</v>
      </c>
    </row>
    <row r="66" spans="1:19" x14ac:dyDescent="0.2">
      <c r="A66" s="327" t="s">
        <v>589</v>
      </c>
      <c r="B66" s="1193">
        <v>162</v>
      </c>
      <c r="C66" s="1193">
        <v>162</v>
      </c>
      <c r="D66" s="1193">
        <v>162</v>
      </c>
      <c r="E66" s="1193">
        <f>+D66</f>
        <v>162</v>
      </c>
      <c r="F66" s="1193">
        <f>+E66</f>
        <v>162</v>
      </c>
      <c r="H66" s="69">
        <f t="shared" si="15"/>
        <v>0</v>
      </c>
      <c r="I66" s="69">
        <f t="shared" si="15"/>
        <v>0</v>
      </c>
      <c r="J66" s="69">
        <f t="shared" si="15"/>
        <v>0</v>
      </c>
      <c r="K66" s="1054">
        <f t="shared" si="15"/>
        <v>0</v>
      </c>
      <c r="L66" s="1054">
        <f t="shared" si="15"/>
        <v>0</v>
      </c>
      <c r="N66" s="327" t="s">
        <v>589</v>
      </c>
      <c r="O66" s="1193">
        <v>162</v>
      </c>
      <c r="P66" s="1193">
        <v>162</v>
      </c>
      <c r="Q66" s="1193">
        <v>162</v>
      </c>
      <c r="R66" s="1193">
        <v>162</v>
      </c>
      <c r="S66" s="1193">
        <v>162</v>
      </c>
    </row>
    <row r="67" spans="1:19" x14ac:dyDescent="0.2">
      <c r="A67" s="327" t="s">
        <v>590</v>
      </c>
      <c r="B67" s="1193">
        <f t="shared" ref="B67:F67" si="17">+B65*B66</f>
        <v>2158002</v>
      </c>
      <c r="C67" s="1193">
        <f t="shared" si="17"/>
        <v>2253258</v>
      </c>
      <c r="D67" s="1193">
        <f t="shared" si="17"/>
        <v>2206926</v>
      </c>
      <c r="E67" s="1193">
        <f t="shared" si="17"/>
        <v>2239903.3125209198</v>
      </c>
      <c r="F67" s="1193">
        <f t="shared" si="17"/>
        <v>2233543.7501564352</v>
      </c>
      <c r="H67" s="69">
        <f t="shared" si="15"/>
        <v>0</v>
      </c>
      <c r="I67" s="69">
        <f t="shared" si="15"/>
        <v>0</v>
      </c>
      <c r="J67" s="69">
        <f t="shared" si="15"/>
        <v>0</v>
      </c>
      <c r="K67" s="1054">
        <f t="shared" si="15"/>
        <v>21074.808137520682</v>
      </c>
      <c r="L67" s="1054">
        <f t="shared" si="15"/>
        <v>54145.58284836961</v>
      </c>
      <c r="N67" s="327" t="s">
        <v>590</v>
      </c>
      <c r="O67" s="1193">
        <v>2158002</v>
      </c>
      <c r="P67" s="1193">
        <v>2253258</v>
      </c>
      <c r="Q67" s="1193">
        <v>2206926</v>
      </c>
      <c r="R67" s="1193">
        <v>2218828.5043833992</v>
      </c>
      <c r="S67" s="1193">
        <v>2179398.1673080656</v>
      </c>
    </row>
    <row r="68" spans="1:19" x14ac:dyDescent="0.2">
      <c r="A68" s="327" t="s">
        <v>591</v>
      </c>
      <c r="B68" s="1227">
        <f>+B19</f>
        <v>4.5</v>
      </c>
      <c r="C68" s="1227">
        <f>+C19</f>
        <v>4.5</v>
      </c>
      <c r="D68" s="1227">
        <f>+D19</f>
        <v>4.5</v>
      </c>
      <c r="E68" s="1227">
        <f>+D68</f>
        <v>4.5</v>
      </c>
      <c r="F68" s="1227">
        <f>+E68</f>
        <v>4.5</v>
      </c>
      <c r="H68" s="69">
        <f t="shared" si="15"/>
        <v>0</v>
      </c>
      <c r="I68" s="69">
        <f t="shared" si="15"/>
        <v>0</v>
      </c>
      <c r="J68" s="69">
        <f t="shared" si="15"/>
        <v>0</v>
      </c>
      <c r="K68" s="1054">
        <f t="shared" si="15"/>
        <v>0</v>
      </c>
      <c r="L68" s="1054">
        <f t="shared" si="15"/>
        <v>0</v>
      </c>
      <c r="N68" s="327" t="s">
        <v>591</v>
      </c>
      <c r="O68" s="1227">
        <v>4.5</v>
      </c>
      <c r="P68" s="1227">
        <v>4.5</v>
      </c>
      <c r="Q68" s="1227">
        <v>4.5</v>
      </c>
      <c r="R68" s="1227">
        <v>4.5</v>
      </c>
      <c r="S68" s="1227">
        <v>4.5</v>
      </c>
    </row>
    <row r="69" spans="1:19" x14ac:dyDescent="0.2">
      <c r="A69" s="1198" t="s">
        <v>592</v>
      </c>
      <c r="B69" s="1199">
        <f t="shared" ref="B69:E69" si="18">B67/B68</f>
        <v>479556</v>
      </c>
      <c r="C69" s="1199">
        <f t="shared" si="18"/>
        <v>500724</v>
      </c>
      <c r="D69" s="1199">
        <f t="shared" si="18"/>
        <v>490428</v>
      </c>
      <c r="E69" s="1199">
        <f t="shared" si="18"/>
        <v>497756.2916713155</v>
      </c>
      <c r="F69" s="1199">
        <f>F67/F68</f>
        <v>496343.05559031892</v>
      </c>
      <c r="H69" s="1460">
        <f t="shared" si="15"/>
        <v>0</v>
      </c>
      <c r="I69" s="1460">
        <f t="shared" si="15"/>
        <v>0</v>
      </c>
      <c r="J69" s="1460">
        <f t="shared" si="15"/>
        <v>0</v>
      </c>
      <c r="K69" s="1460">
        <f t="shared" si="15"/>
        <v>4683.2906972268247</v>
      </c>
      <c r="L69" s="1460">
        <f t="shared" si="15"/>
        <v>12032.351744082116</v>
      </c>
      <c r="N69" s="1198" t="s">
        <v>592</v>
      </c>
      <c r="O69" s="1199">
        <v>479556</v>
      </c>
      <c r="P69" s="1199">
        <v>500724</v>
      </c>
      <c r="Q69" s="1199">
        <v>490428</v>
      </c>
      <c r="R69" s="1199">
        <v>493073.00097408867</v>
      </c>
      <c r="S69" s="1199">
        <v>484310.70384623681</v>
      </c>
    </row>
    <row r="70" spans="1:19" x14ac:dyDescent="0.2">
      <c r="A70" s="327"/>
      <c r="B70" s="1193"/>
      <c r="C70" s="1193"/>
      <c r="D70" s="1193"/>
      <c r="E70" s="1193"/>
      <c r="F70" s="1193"/>
      <c r="H70" s="1468"/>
      <c r="I70" s="1468"/>
      <c r="J70" s="1468"/>
      <c r="K70" s="1468"/>
      <c r="L70" s="1468"/>
      <c r="N70" s="327"/>
      <c r="O70" s="1193"/>
      <c r="P70" s="1193"/>
      <c r="Q70" s="1193"/>
      <c r="R70" s="1193"/>
      <c r="S70" s="1193"/>
    </row>
    <row r="71" spans="1:19" x14ac:dyDescent="0.2">
      <c r="A71" s="330" t="s">
        <v>594</v>
      </c>
      <c r="B71" s="954">
        <f>B32</f>
        <v>3.6987776623692885</v>
      </c>
      <c r="C71" s="954">
        <f t="shared" ref="C71:D71" si="19">C32</f>
        <v>3.3827141967645913</v>
      </c>
      <c r="D71" s="954">
        <f t="shared" si="19"/>
        <v>2.19</v>
      </c>
      <c r="E71" s="954">
        <f>E32</f>
        <v>2.35</v>
      </c>
      <c r="F71" s="91">
        <f>AVERAGE(C71:E71)</f>
        <v>2.6409047322548638</v>
      </c>
      <c r="H71" s="954">
        <f t="shared" ref="H71:L72" si="20">IFERROR(B71-O71,"")</f>
        <v>0</v>
      </c>
      <c r="I71" s="954">
        <f t="shared" si="20"/>
        <v>0</v>
      </c>
      <c r="J71" s="954">
        <f t="shared" si="20"/>
        <v>0</v>
      </c>
      <c r="K71" s="954">
        <f t="shared" si="20"/>
        <v>5.0000000000000266E-2</v>
      </c>
      <c r="L71" s="91">
        <f t="shared" si="20"/>
        <v>1.6666666666666607E-2</v>
      </c>
      <c r="N71" s="330" t="s">
        <v>595</v>
      </c>
      <c r="O71" s="954">
        <v>3.6987776623692885</v>
      </c>
      <c r="P71" s="954">
        <v>3.3827141967645913</v>
      </c>
      <c r="Q71" s="954">
        <v>2.19</v>
      </c>
      <c r="R71" s="954">
        <v>2.2999999999999998</v>
      </c>
      <c r="S71" s="91">
        <v>2.6242380655881972</v>
      </c>
    </row>
    <row r="72" spans="1:19" ht="15" customHeight="1" x14ac:dyDescent="0.2">
      <c r="A72" s="302" t="s">
        <v>607</v>
      </c>
      <c r="B72" s="1235">
        <f t="shared" ref="B72:F72" si="21">B69*B71</f>
        <v>1773771.0206551666</v>
      </c>
      <c r="C72" s="1235">
        <f t="shared" si="21"/>
        <v>1693806.1834607532</v>
      </c>
      <c r="D72" s="1235">
        <f>D69*D71</f>
        <v>1074037.32</v>
      </c>
      <c r="E72" s="1235">
        <f t="shared" si="21"/>
        <v>1169727.2854275915</v>
      </c>
      <c r="F72" s="1235">
        <f t="shared" si="21"/>
        <v>1310794.7243303121</v>
      </c>
      <c r="G72"/>
      <c r="H72" s="1235">
        <f t="shared" si="20"/>
        <v>0</v>
      </c>
      <c r="I72" s="1235">
        <f t="shared" si="20"/>
        <v>0</v>
      </c>
      <c r="J72" s="1235">
        <f t="shared" si="20"/>
        <v>0</v>
      </c>
      <c r="K72" s="1235">
        <f t="shared" si="20"/>
        <v>35659.383187187603</v>
      </c>
      <c r="L72" s="1235">
        <f t="shared" si="20"/>
        <v>39848.139725205489</v>
      </c>
      <c r="N72" s="302" t="s">
        <v>607</v>
      </c>
      <c r="O72" s="1235">
        <v>1773771.0206551666</v>
      </c>
      <c r="P72" s="1235">
        <v>1693806.1834607532</v>
      </c>
      <c r="Q72" s="1235">
        <v>1074037.32</v>
      </c>
      <c r="R72" s="1235">
        <v>1134067.9022404039</v>
      </c>
      <c r="S72" s="1235">
        <v>1270946.5846051066</v>
      </c>
    </row>
    <row r="73" spans="1:19" x14ac:dyDescent="0.2">
      <c r="A73" s="1198"/>
      <c r="B73" s="1237"/>
      <c r="C73" s="1237"/>
      <c r="D73" s="1237"/>
      <c r="E73" s="1237"/>
      <c r="F73" s="1237"/>
      <c r="H73" s="1237"/>
      <c r="I73" s="1237"/>
      <c r="J73" s="1237"/>
      <c r="K73" s="1237"/>
      <c r="L73" s="1237"/>
      <c r="N73" s="1238"/>
      <c r="O73" s="1237"/>
      <c r="P73" s="1237"/>
      <c r="Q73" s="1237"/>
      <c r="R73" s="1237"/>
      <c r="S73" s="1237"/>
    </row>
    <row r="74" spans="1:19" x14ac:dyDescent="0.2">
      <c r="A74" s="1239" t="s">
        <v>608</v>
      </c>
      <c r="B74" s="1182">
        <v>116326</v>
      </c>
      <c r="C74" s="1182">
        <v>103138</v>
      </c>
      <c r="D74" s="1182">
        <v>106754</v>
      </c>
      <c r="E74" s="1181">
        <f>+D74</f>
        <v>106754</v>
      </c>
      <c r="F74" s="1181">
        <f>+E74</f>
        <v>106754</v>
      </c>
      <c r="G74"/>
      <c r="H74" s="1457">
        <f t="shared" ref="H74:L76" si="22">IFERROR(B74-O74,"")</f>
        <v>0</v>
      </c>
      <c r="I74" s="1457">
        <f t="shared" si="22"/>
        <v>0</v>
      </c>
      <c r="J74" s="1457">
        <f t="shared" si="22"/>
        <v>0</v>
      </c>
      <c r="K74" s="1456">
        <f t="shared" si="22"/>
        <v>0</v>
      </c>
      <c r="L74" s="1456">
        <f t="shared" si="22"/>
        <v>0</v>
      </c>
      <c r="N74" s="1239" t="s">
        <v>609</v>
      </c>
      <c r="O74" s="1182">
        <v>116326</v>
      </c>
      <c r="P74" s="1182">
        <v>103138</v>
      </c>
      <c r="Q74" s="1182">
        <v>106754</v>
      </c>
      <c r="R74" s="1181">
        <v>106754</v>
      </c>
      <c r="S74" s="1181">
        <v>106754</v>
      </c>
    </row>
    <row r="75" spans="1:19" x14ac:dyDescent="0.2">
      <c r="A75" s="327" t="s">
        <v>610</v>
      </c>
      <c r="B75" s="1214">
        <f t="shared" ref="B75:D75" si="23">B76/B74</f>
        <v>4.0311404157282125</v>
      </c>
      <c r="C75" s="1214">
        <f t="shared" si="23"/>
        <v>3.4018624561267408</v>
      </c>
      <c r="D75" s="1214">
        <f t="shared" si="23"/>
        <v>2.5999997189800852</v>
      </c>
      <c r="E75" s="1214">
        <v>2.83</v>
      </c>
      <c r="F75" s="954">
        <f>AVERAGE(C75:E75)</f>
        <v>2.9439540583689419</v>
      </c>
      <c r="H75" s="1214">
        <f t="shared" si="22"/>
        <v>0</v>
      </c>
      <c r="I75" s="1214">
        <f t="shared" si="22"/>
        <v>0</v>
      </c>
      <c r="J75" s="1214">
        <f t="shared" si="22"/>
        <v>0</v>
      </c>
      <c r="K75" s="1214">
        <f t="shared" si="22"/>
        <v>0.53000000000000025</v>
      </c>
      <c r="L75" s="954">
        <f t="shared" si="22"/>
        <v>0.17666666666666631</v>
      </c>
      <c r="N75" s="327" t="s">
        <v>611</v>
      </c>
      <c r="O75" s="1214">
        <v>4.0311404157282125</v>
      </c>
      <c r="P75" s="1214">
        <v>3.4018624561267408</v>
      </c>
      <c r="Q75" s="1214">
        <v>2.5999997189800852</v>
      </c>
      <c r="R75" s="1214">
        <v>2.2999999999999998</v>
      </c>
      <c r="S75" s="954">
        <v>2.7672873917022756</v>
      </c>
    </row>
    <row r="76" spans="1:19" ht="15" customHeight="1" x14ac:dyDescent="0.2">
      <c r="A76" s="302" t="s">
        <v>597</v>
      </c>
      <c r="B76" s="163">
        <v>468926.44</v>
      </c>
      <c r="C76" s="163">
        <v>350861.2899999998</v>
      </c>
      <c r="D76" s="163">
        <v>277560.37</v>
      </c>
      <c r="E76" s="1240">
        <f>E74*E75</f>
        <v>302113.82</v>
      </c>
      <c r="F76" s="1240">
        <f>F74*F75</f>
        <v>314278.871547118</v>
      </c>
      <c r="G76"/>
      <c r="H76" s="163">
        <f t="shared" si="22"/>
        <v>0</v>
      </c>
      <c r="I76" s="163">
        <f t="shared" si="22"/>
        <v>0</v>
      </c>
      <c r="J76" s="163">
        <f t="shared" si="22"/>
        <v>0</v>
      </c>
      <c r="K76" s="1240">
        <f t="shared" si="22"/>
        <v>56579.620000000024</v>
      </c>
      <c r="L76" s="1240">
        <f t="shared" si="22"/>
        <v>18859.873333333293</v>
      </c>
      <c r="N76" s="302" t="s">
        <v>612</v>
      </c>
      <c r="O76" s="163">
        <v>468926.44</v>
      </c>
      <c r="P76" s="163">
        <v>350861.2899999998</v>
      </c>
      <c r="Q76" s="163">
        <v>277560.37</v>
      </c>
      <c r="R76" s="1240">
        <v>245534.19999999998</v>
      </c>
      <c r="S76" s="1240">
        <v>295418.99821378471</v>
      </c>
    </row>
    <row r="77" spans="1:19" x14ac:dyDescent="0.2">
      <c r="A77" s="1202"/>
      <c r="B77" s="1242"/>
      <c r="C77" s="1242"/>
      <c r="D77" s="1242"/>
      <c r="E77" s="1241"/>
      <c r="F77" s="1241"/>
      <c r="H77" s="1242"/>
      <c r="I77" s="1242"/>
      <c r="J77" s="1242"/>
      <c r="K77" s="1241"/>
      <c r="L77" s="1241"/>
      <c r="N77" s="1202"/>
      <c r="O77" s="1242"/>
      <c r="P77" s="1242"/>
      <c r="Q77" s="1242"/>
      <c r="R77" s="1241"/>
      <c r="S77" s="1241"/>
    </row>
    <row r="78" spans="1:19" x14ac:dyDescent="0.2">
      <c r="A78" s="1202" t="s">
        <v>613</v>
      </c>
      <c r="B78" s="1182">
        <v>34776</v>
      </c>
      <c r="C78" s="1182">
        <v>34828</v>
      </c>
      <c r="D78" s="1182">
        <v>34074</v>
      </c>
      <c r="E78" s="1181">
        <f>+D78</f>
        <v>34074</v>
      </c>
      <c r="F78" s="1181">
        <v>33700</v>
      </c>
      <c r="H78" s="1457">
        <f t="shared" ref="H78:L80" si="24">IFERROR(B78-O78,"")</f>
        <v>0</v>
      </c>
      <c r="I78" s="1457">
        <f t="shared" si="24"/>
        <v>0</v>
      </c>
      <c r="J78" s="1457">
        <f t="shared" si="24"/>
        <v>0</v>
      </c>
      <c r="K78" s="1456">
        <f t="shared" si="24"/>
        <v>0</v>
      </c>
      <c r="L78" s="1456">
        <f t="shared" si="24"/>
        <v>0</v>
      </c>
      <c r="N78" s="1202" t="s">
        <v>614</v>
      </c>
      <c r="O78" s="1182">
        <v>34776</v>
      </c>
      <c r="P78" s="1182">
        <v>34828</v>
      </c>
      <c r="Q78" s="1182">
        <v>34074</v>
      </c>
      <c r="R78" s="1181">
        <v>34074</v>
      </c>
      <c r="S78" s="1181">
        <v>33700</v>
      </c>
    </row>
    <row r="79" spans="1:19" x14ac:dyDescent="0.2">
      <c r="A79" s="327" t="s">
        <v>610</v>
      </c>
      <c r="B79" s="1214">
        <f t="shared" ref="B79:D79" si="25">B80/B78</f>
        <v>3.7276210605014963</v>
      </c>
      <c r="C79" s="1214">
        <f t="shared" si="25"/>
        <v>3.0680257264270132</v>
      </c>
      <c r="D79" s="1214">
        <f t="shared" si="25"/>
        <v>2.2892671831895286</v>
      </c>
      <c r="E79" s="1214">
        <v>2.4300000000000002</v>
      </c>
      <c r="F79" s="954">
        <f>AVERAGE(C79:E79)</f>
        <v>2.5957643032055135</v>
      </c>
      <c r="H79" s="1214">
        <f t="shared" si="24"/>
        <v>0</v>
      </c>
      <c r="I79" s="1214">
        <f t="shared" si="24"/>
        <v>0</v>
      </c>
      <c r="J79" s="1214">
        <f t="shared" si="24"/>
        <v>0</v>
      </c>
      <c r="K79" s="1214">
        <f t="shared" si="24"/>
        <v>0.13000000000000034</v>
      </c>
      <c r="L79" s="954">
        <f t="shared" si="24"/>
        <v>4.3333333333333002E-2</v>
      </c>
      <c r="N79" s="327" t="s">
        <v>611</v>
      </c>
      <c r="O79" s="1214">
        <v>3.7276210605014963</v>
      </c>
      <c r="P79" s="1214">
        <v>3.0680257264270132</v>
      </c>
      <c r="Q79" s="1214">
        <v>2.2892671831895286</v>
      </c>
      <c r="R79" s="1214">
        <v>2.2999999999999998</v>
      </c>
      <c r="S79" s="954">
        <v>2.5524309698721805</v>
      </c>
    </row>
    <row r="80" spans="1:19" ht="15" customHeight="1" x14ac:dyDescent="0.2">
      <c r="A80" s="1243" t="s">
        <v>615</v>
      </c>
      <c r="B80" s="163">
        <v>129631.75000000003</v>
      </c>
      <c r="C80" s="163">
        <v>106853.20000000001</v>
      </c>
      <c r="D80" s="163">
        <v>78004.489999999991</v>
      </c>
      <c r="E80" s="1240">
        <f>E78*E79</f>
        <v>82799.820000000007</v>
      </c>
      <c r="F80" s="1240">
        <f>F78*F79</f>
        <v>87477.257018025804</v>
      </c>
      <c r="G80"/>
      <c r="H80" s="163">
        <f t="shared" si="24"/>
        <v>0</v>
      </c>
      <c r="I80" s="163">
        <f t="shared" si="24"/>
        <v>0</v>
      </c>
      <c r="J80" s="163">
        <f t="shared" si="24"/>
        <v>0</v>
      </c>
      <c r="K80" s="1240">
        <f t="shared" si="24"/>
        <v>4429.6200000000099</v>
      </c>
      <c r="L80" s="1240">
        <f t="shared" si="24"/>
        <v>1460.3333333333139</v>
      </c>
      <c r="N80" s="302" t="s">
        <v>612</v>
      </c>
      <c r="O80" s="163">
        <v>129631.75000000003</v>
      </c>
      <c r="P80" s="163">
        <v>106853.20000000001</v>
      </c>
      <c r="Q80" s="163">
        <v>78004.489999999991</v>
      </c>
      <c r="R80" s="1240">
        <v>78370.2</v>
      </c>
      <c r="S80" s="1240">
        <v>86016.92368469249</v>
      </c>
    </row>
    <row r="81" spans="1:19" x14ac:dyDescent="0.2">
      <c r="A81" s="1202"/>
      <c r="B81" s="1242"/>
      <c r="C81" s="1242"/>
      <c r="D81" s="1242"/>
      <c r="E81" s="1241"/>
      <c r="F81" s="1241"/>
      <c r="H81" s="1242"/>
      <c r="I81" s="1242"/>
      <c r="J81" s="1242"/>
      <c r="K81" s="1241"/>
      <c r="L81" s="1241"/>
      <c r="N81" s="1202"/>
      <c r="O81" s="1242"/>
      <c r="P81" s="1242"/>
      <c r="Q81" s="1242"/>
      <c r="R81" s="1241"/>
      <c r="S81" s="1241"/>
    </row>
    <row r="82" spans="1:19" x14ac:dyDescent="0.2">
      <c r="A82" s="1202" t="s">
        <v>616</v>
      </c>
      <c r="B82" s="1182">
        <v>30114.800000000003</v>
      </c>
      <c r="C82" s="1182">
        <v>32416.024940656775</v>
      </c>
      <c r="D82" s="1244">
        <v>30317.84164688559</v>
      </c>
      <c r="E82" s="1181">
        <f>+D82</f>
        <v>30317.84164688559</v>
      </c>
      <c r="F82" s="1181">
        <f>E82</f>
        <v>30317.84164688559</v>
      </c>
      <c r="H82" s="1457">
        <f t="shared" ref="H82:L84" si="26">IFERROR(B82-O82,"")</f>
        <v>0</v>
      </c>
      <c r="I82" s="1457">
        <f t="shared" si="26"/>
        <v>0</v>
      </c>
      <c r="J82" s="1457">
        <f t="shared" si="26"/>
        <v>0</v>
      </c>
      <c r="K82" s="1456">
        <f t="shared" si="26"/>
        <v>0</v>
      </c>
      <c r="L82" s="1456">
        <f t="shared" si="26"/>
        <v>0</v>
      </c>
      <c r="N82" s="1202" t="s">
        <v>617</v>
      </c>
      <c r="O82" s="1182">
        <v>30114.800000000003</v>
      </c>
      <c r="P82" s="1182">
        <v>32416.024940656775</v>
      </c>
      <c r="Q82" s="1244">
        <v>30317.84164688559</v>
      </c>
      <c r="R82" s="1181">
        <v>30317.84164688559</v>
      </c>
      <c r="S82" s="1181">
        <v>30317.84164688559</v>
      </c>
    </row>
    <row r="83" spans="1:19" x14ac:dyDescent="0.2">
      <c r="A83" s="327" t="s">
        <v>610</v>
      </c>
      <c r="B83" s="958">
        <f t="shared" ref="B83:D83" si="27">B71</f>
        <v>3.6987776623692885</v>
      </c>
      <c r="C83" s="958">
        <f t="shared" si="27"/>
        <v>3.3827141967645913</v>
      </c>
      <c r="D83" s="958">
        <f t="shared" si="27"/>
        <v>2.19</v>
      </c>
      <c r="E83" s="958">
        <f>E71</f>
        <v>2.35</v>
      </c>
      <c r="F83" s="1245">
        <f>AVERAGE(C83:E83)</f>
        <v>2.6409047322548638</v>
      </c>
      <c r="H83" s="958">
        <f t="shared" si="26"/>
        <v>0</v>
      </c>
      <c r="I83" s="958">
        <f t="shared" si="26"/>
        <v>0</v>
      </c>
      <c r="J83" s="958">
        <f t="shared" si="26"/>
        <v>0</v>
      </c>
      <c r="K83" s="958">
        <f t="shared" si="26"/>
        <v>5.0000000000000266E-2</v>
      </c>
      <c r="L83" s="1245">
        <f t="shared" si="26"/>
        <v>1.6666666666666607E-2</v>
      </c>
      <c r="N83" s="327" t="s">
        <v>611</v>
      </c>
      <c r="O83" s="958">
        <v>3.6987776623692885</v>
      </c>
      <c r="P83" s="958">
        <v>3.3827141967645913</v>
      </c>
      <c r="Q83" s="958">
        <v>2.19</v>
      </c>
      <c r="R83" s="958">
        <v>2.2999999999999998</v>
      </c>
      <c r="S83" s="1245">
        <v>2.6242380655881972</v>
      </c>
    </row>
    <row r="84" spans="1:19" ht="15" customHeight="1" x14ac:dyDescent="0.2">
      <c r="A84" s="302" t="s">
        <v>596</v>
      </c>
      <c r="B84" s="163">
        <f>+B82*B83</f>
        <v>111387.94954671866</v>
      </c>
      <c r="C84" s="163">
        <f>+C82*C83</f>
        <v>109654.14776943474</v>
      </c>
      <c r="D84" s="163">
        <f>+D82*D83</f>
        <v>66396.073206679444</v>
      </c>
      <c r="E84" s="1240">
        <f>E82*E83</f>
        <v>71246.927870181142</v>
      </c>
      <c r="F84" s="1240">
        <f>F82*F83</f>
        <v>80066.531477013748</v>
      </c>
      <c r="G84"/>
      <c r="H84" s="163">
        <f t="shared" si="26"/>
        <v>0</v>
      </c>
      <c r="I84" s="163">
        <f t="shared" si="26"/>
        <v>0</v>
      </c>
      <c r="J84" s="163">
        <f t="shared" si="26"/>
        <v>0</v>
      </c>
      <c r="K84" s="1240">
        <f t="shared" si="26"/>
        <v>1515.8920823442895</v>
      </c>
      <c r="L84" s="1240">
        <f t="shared" si="26"/>
        <v>505.29736078142014</v>
      </c>
      <c r="N84" s="302" t="s">
        <v>618</v>
      </c>
      <c r="O84" s="163">
        <v>111387.94954671866</v>
      </c>
      <c r="P84" s="163">
        <v>109654.14776943474</v>
      </c>
      <c r="Q84" s="163">
        <v>66396.073206679444</v>
      </c>
      <c r="R84" s="1240">
        <v>69731.035787836852</v>
      </c>
      <c r="S84" s="1240">
        <v>79561.234116232328</v>
      </c>
    </row>
    <row r="85" spans="1:19" x14ac:dyDescent="0.2">
      <c r="A85" s="1202"/>
      <c r="B85" s="1242"/>
      <c r="C85" s="1242"/>
      <c r="D85" s="1242"/>
      <c r="E85" s="1241"/>
      <c r="F85" s="1241"/>
      <c r="H85" s="1242"/>
      <c r="I85" s="1242"/>
      <c r="J85" s="1242"/>
      <c r="K85" s="1241"/>
      <c r="L85" s="1241"/>
      <c r="N85" s="1202"/>
      <c r="O85" s="1242"/>
      <c r="P85" s="1242"/>
      <c r="Q85" s="1242"/>
      <c r="R85" s="1241"/>
      <c r="S85" s="1241"/>
    </row>
    <row r="86" spans="1:19" x14ac:dyDescent="0.2">
      <c r="A86" s="1202" t="s">
        <v>619</v>
      </c>
      <c r="B86" s="1182">
        <v>23609.599999999999</v>
      </c>
      <c r="C86" s="1182">
        <v>30314.800000000003</v>
      </c>
      <c r="D86" s="1182">
        <f>D88/D87</f>
        <v>31298.608823529394</v>
      </c>
      <c r="E86" s="1181">
        <f>+D86</f>
        <v>31298.608823529394</v>
      </c>
      <c r="F86" s="1181">
        <f>E86</f>
        <v>31298.608823529394</v>
      </c>
      <c r="H86" s="1457">
        <f t="shared" ref="H86:L88" si="28">IFERROR(B86-O86,"")</f>
        <v>0</v>
      </c>
      <c r="I86" s="1457">
        <f t="shared" si="28"/>
        <v>0</v>
      </c>
      <c r="J86" s="1457">
        <f t="shared" si="28"/>
        <v>0</v>
      </c>
      <c r="K86" s="1456">
        <f t="shared" si="28"/>
        <v>0</v>
      </c>
      <c r="L86" s="1456">
        <f t="shared" si="28"/>
        <v>0</v>
      </c>
      <c r="N86" s="1202" t="s">
        <v>620</v>
      </c>
      <c r="O86" s="1182">
        <v>23609.599999999999</v>
      </c>
      <c r="P86" s="1182">
        <v>30314.800000000003</v>
      </c>
      <c r="Q86" s="1182">
        <v>31298.608823529394</v>
      </c>
      <c r="R86" s="1181">
        <v>31298.608823529394</v>
      </c>
      <c r="S86" s="1181">
        <v>31298.608823529394</v>
      </c>
    </row>
    <row r="87" spans="1:19" x14ac:dyDescent="0.2">
      <c r="A87" s="327" t="s">
        <v>610</v>
      </c>
      <c r="B87" s="958">
        <f>B88/B86</f>
        <v>3.6980554520195184</v>
      </c>
      <c r="C87" s="958">
        <f>C88/C86</f>
        <v>3.4831742251309556</v>
      </c>
      <c r="D87" s="958">
        <v>3.4</v>
      </c>
      <c r="E87" s="1245">
        <v>3.01</v>
      </c>
      <c r="F87" s="1245">
        <f>AVERAGE(C87:E87)</f>
        <v>3.2977247417103186</v>
      </c>
      <c r="H87" s="958">
        <f t="shared" si="28"/>
        <v>0</v>
      </c>
      <c r="I87" s="958">
        <f t="shared" si="28"/>
        <v>0</v>
      </c>
      <c r="J87" s="958">
        <f t="shared" si="28"/>
        <v>0</v>
      </c>
      <c r="K87" s="1245">
        <f t="shared" si="28"/>
        <v>-0.39000000000000012</v>
      </c>
      <c r="L87" s="1245">
        <f t="shared" si="28"/>
        <v>-0.13000000000000034</v>
      </c>
      <c r="N87" s="327" t="s">
        <v>611</v>
      </c>
      <c r="O87" s="958">
        <v>3.6980554520195184</v>
      </c>
      <c r="P87" s="958">
        <v>3.4831742251309556</v>
      </c>
      <c r="Q87" s="958">
        <v>3.4</v>
      </c>
      <c r="R87" s="1245">
        <v>3.4</v>
      </c>
      <c r="S87" s="1245">
        <v>3.4277247417103189</v>
      </c>
    </row>
    <row r="88" spans="1:19" ht="15" customHeight="1" x14ac:dyDescent="0.2">
      <c r="A88" s="1243" t="s">
        <v>621</v>
      </c>
      <c r="B88" s="163">
        <v>87309.610000000015</v>
      </c>
      <c r="C88" s="163">
        <v>105591.72999999991</v>
      </c>
      <c r="D88" s="163">
        <v>106415.26999999993</v>
      </c>
      <c r="E88" s="1240">
        <f>E86*E87</f>
        <v>94208.812558823469</v>
      </c>
      <c r="F88" s="1240">
        <f>F86*F87</f>
        <v>103214.19669846576</v>
      </c>
      <c r="G88"/>
      <c r="H88" s="163">
        <f t="shared" si="28"/>
        <v>0</v>
      </c>
      <c r="I88" s="163">
        <f t="shared" si="28"/>
        <v>0</v>
      </c>
      <c r="J88" s="163">
        <f t="shared" si="28"/>
        <v>0</v>
      </c>
      <c r="K88" s="1240">
        <f t="shared" si="28"/>
        <v>-12206.457441176462</v>
      </c>
      <c r="L88" s="1240">
        <f t="shared" si="28"/>
        <v>-4068.8191470588354</v>
      </c>
      <c r="N88" s="302" t="s">
        <v>622</v>
      </c>
      <c r="O88" s="163">
        <v>87309.610000000015</v>
      </c>
      <c r="P88" s="163">
        <v>105591.72999999991</v>
      </c>
      <c r="Q88" s="163">
        <v>106415.26999999993</v>
      </c>
      <c r="R88" s="1240">
        <v>106415.26999999993</v>
      </c>
      <c r="S88" s="1240">
        <v>107283.0158455246</v>
      </c>
    </row>
    <row r="89" spans="1:19" x14ac:dyDescent="0.2">
      <c r="A89" s="1202"/>
      <c r="B89" s="1242"/>
      <c r="C89" s="1242"/>
      <c r="D89" s="1242"/>
      <c r="E89" s="1241"/>
      <c r="F89" s="1241"/>
      <c r="H89" s="1242"/>
      <c r="I89" s="1242"/>
      <c r="J89" s="1242"/>
      <c r="K89" s="1241"/>
      <c r="L89" s="1241"/>
      <c r="N89" s="1202"/>
      <c r="O89" s="1242"/>
      <c r="P89" s="1242"/>
      <c r="Q89" s="1242"/>
      <c r="R89" s="1241"/>
      <c r="S89" s="1241"/>
    </row>
    <row r="90" spans="1:19" x14ac:dyDescent="0.2">
      <c r="A90" s="1202" t="s">
        <v>623</v>
      </c>
      <c r="B90" s="1182">
        <v>6128</v>
      </c>
      <c r="C90" s="1182">
        <v>5648</v>
      </c>
      <c r="D90" s="1182">
        <v>6415</v>
      </c>
      <c r="E90" s="1181">
        <f>+D90</f>
        <v>6415</v>
      </c>
      <c r="F90" s="1181">
        <f>+E90</f>
        <v>6415</v>
      </c>
      <c r="H90" s="1457">
        <f t="shared" ref="H90:L92" si="29">IFERROR(B90-O90,"")</f>
        <v>0</v>
      </c>
      <c r="I90" s="1457">
        <f t="shared" si="29"/>
        <v>0</v>
      </c>
      <c r="J90" s="1457">
        <f t="shared" si="29"/>
        <v>0</v>
      </c>
      <c r="K90" s="1456">
        <f t="shared" si="29"/>
        <v>0</v>
      </c>
      <c r="L90" s="1456">
        <f t="shared" si="29"/>
        <v>0</v>
      </c>
      <c r="N90" s="1202" t="s">
        <v>624</v>
      </c>
      <c r="O90" s="1182">
        <v>6128</v>
      </c>
      <c r="P90" s="1182">
        <v>5648</v>
      </c>
      <c r="Q90" s="1182">
        <v>6415</v>
      </c>
      <c r="R90" s="1181">
        <v>6415</v>
      </c>
      <c r="S90" s="1181">
        <v>6415</v>
      </c>
    </row>
    <row r="91" spans="1:19" x14ac:dyDescent="0.2">
      <c r="A91" s="327" t="s">
        <v>610</v>
      </c>
      <c r="B91" s="958">
        <f t="shared" ref="B91:D91" si="30">B92/B90</f>
        <v>3.3986945169712808</v>
      </c>
      <c r="C91" s="958">
        <f t="shared" si="30"/>
        <v>3.0822928470254944</v>
      </c>
      <c r="D91" s="958">
        <f t="shared" si="30"/>
        <v>2.5342447388932183</v>
      </c>
      <c r="E91" s="958">
        <v>2.39</v>
      </c>
      <c r="F91" s="1245">
        <f>AVERAGE(C91:E91)</f>
        <v>2.6688458619729043</v>
      </c>
      <c r="H91" s="958">
        <f t="shared" si="29"/>
        <v>0</v>
      </c>
      <c r="I91" s="958">
        <f t="shared" si="29"/>
        <v>0</v>
      </c>
      <c r="J91" s="958">
        <f t="shared" si="29"/>
        <v>0</v>
      </c>
      <c r="K91" s="958">
        <f t="shared" si="29"/>
        <v>-9.9999999999997868E-3</v>
      </c>
      <c r="L91" s="1245">
        <f t="shared" si="29"/>
        <v>-3.3333333333329662E-3</v>
      </c>
      <c r="N91" s="327" t="s">
        <v>611</v>
      </c>
      <c r="O91" s="958">
        <v>3.3986945169712808</v>
      </c>
      <c r="P91" s="958">
        <v>3.0822928470254944</v>
      </c>
      <c r="Q91" s="958">
        <v>2.5342447388932183</v>
      </c>
      <c r="R91" s="958">
        <v>2.4</v>
      </c>
      <c r="S91" s="1245">
        <v>2.6721791953062373</v>
      </c>
    </row>
    <row r="92" spans="1:19" ht="15" customHeight="1" x14ac:dyDescent="0.2">
      <c r="A92" s="302" t="s">
        <v>625</v>
      </c>
      <c r="B92" s="163">
        <v>20827.200000000008</v>
      </c>
      <c r="C92" s="163">
        <v>17408.789999999994</v>
      </c>
      <c r="D92" s="163">
        <v>16257.179999999997</v>
      </c>
      <c r="E92" s="1240">
        <f>E90*E91</f>
        <v>15331.85</v>
      </c>
      <c r="F92" s="1240">
        <f>F90*F91</f>
        <v>17120.646204556182</v>
      </c>
      <c r="G92"/>
      <c r="H92" s="163">
        <f t="shared" si="29"/>
        <v>0</v>
      </c>
      <c r="I92" s="163">
        <f t="shared" si="29"/>
        <v>0</v>
      </c>
      <c r="J92" s="163">
        <f t="shared" si="29"/>
        <v>0</v>
      </c>
      <c r="K92" s="1240">
        <f t="shared" si="29"/>
        <v>-64.149999999999636</v>
      </c>
      <c r="L92" s="1240">
        <f t="shared" si="29"/>
        <v>-21.383333333331393</v>
      </c>
      <c r="N92" s="302" t="s">
        <v>622</v>
      </c>
      <c r="O92" s="163">
        <v>20827.200000000008</v>
      </c>
      <c r="P92" s="163">
        <v>17408.789999999994</v>
      </c>
      <c r="Q92" s="163">
        <v>16257.179999999997</v>
      </c>
      <c r="R92" s="1240">
        <v>15396</v>
      </c>
      <c r="S92" s="1240">
        <v>17142.029537889513</v>
      </c>
    </row>
    <row r="93" spans="1:19" x14ac:dyDescent="0.2">
      <c r="A93" s="1246"/>
      <c r="B93" s="1242"/>
      <c r="C93" s="1247"/>
      <c r="D93" s="1248"/>
      <c r="E93" s="1237"/>
      <c r="F93" s="1237"/>
      <c r="H93" s="1242"/>
      <c r="I93" s="1242"/>
      <c r="J93" s="1249"/>
      <c r="K93" s="1237"/>
      <c r="L93" s="1250"/>
      <c r="N93" s="1246"/>
      <c r="O93" s="1242"/>
      <c r="P93" s="1242"/>
      <c r="Q93" s="1248"/>
      <c r="R93" s="1236"/>
      <c r="S93" s="1251"/>
    </row>
    <row r="94" spans="1:19" x14ac:dyDescent="0.2">
      <c r="A94" s="1202" t="s">
        <v>626</v>
      </c>
      <c r="B94" s="1182">
        <v>27072</v>
      </c>
      <c r="C94" s="1182">
        <v>25810</v>
      </c>
      <c r="D94" s="1182">
        <v>21934</v>
      </c>
      <c r="E94" s="1181">
        <f>+D94</f>
        <v>21934</v>
      </c>
      <c r="F94" s="1181">
        <f>+E94</f>
        <v>21934</v>
      </c>
      <c r="H94" s="1457">
        <f t="shared" ref="H94:L96" si="31">IFERROR(B94-O94,"")</f>
        <v>0</v>
      </c>
      <c r="I94" s="1457">
        <f t="shared" si="31"/>
        <v>0</v>
      </c>
      <c r="J94" s="1457">
        <f t="shared" si="31"/>
        <v>0</v>
      </c>
      <c r="K94" s="1456">
        <f t="shared" si="31"/>
        <v>0</v>
      </c>
      <c r="L94" s="1456">
        <f t="shared" si="31"/>
        <v>0</v>
      </c>
      <c r="N94" s="1202" t="s">
        <v>627</v>
      </c>
      <c r="O94" s="1182">
        <v>27072</v>
      </c>
      <c r="P94" s="1182">
        <v>25810</v>
      </c>
      <c r="Q94" s="1224">
        <v>21934</v>
      </c>
      <c r="R94" s="1199">
        <v>21934</v>
      </c>
      <c r="S94" s="1199">
        <v>21934</v>
      </c>
    </row>
    <row r="95" spans="1:19" x14ac:dyDescent="0.2">
      <c r="A95" s="327" t="s">
        <v>610</v>
      </c>
      <c r="B95" s="958">
        <f t="shared" ref="B95:D95" si="32">B96/B94</f>
        <v>3.2460605053191278</v>
      </c>
      <c r="C95" s="958">
        <f t="shared" si="32"/>
        <v>3.352157690817497</v>
      </c>
      <c r="D95" s="958">
        <f t="shared" si="32"/>
        <v>2.8491469864137922</v>
      </c>
      <c r="E95" s="958">
        <v>3.28</v>
      </c>
      <c r="F95" s="1245">
        <f>AVERAGE(C95:E95)</f>
        <v>3.16043489241043</v>
      </c>
      <c r="H95" s="958">
        <f t="shared" si="31"/>
        <v>0</v>
      </c>
      <c r="I95" s="958">
        <f t="shared" si="31"/>
        <v>0</v>
      </c>
      <c r="J95" s="1252">
        <f t="shared" si="31"/>
        <v>0</v>
      </c>
      <c r="K95" s="1253">
        <f t="shared" si="31"/>
        <v>0.37999999999999989</v>
      </c>
      <c r="L95" s="1254">
        <f t="shared" si="31"/>
        <v>0.12666666666666693</v>
      </c>
      <c r="N95" s="327" t="s">
        <v>611</v>
      </c>
      <c r="O95" s="958">
        <v>3.2460605053191278</v>
      </c>
      <c r="P95" s="958">
        <v>3.352157690817497</v>
      </c>
      <c r="Q95" s="958">
        <v>2.8491469864137922</v>
      </c>
      <c r="R95" s="958">
        <v>2.9</v>
      </c>
      <c r="S95" s="1245">
        <v>3.033768225743763</v>
      </c>
    </row>
    <row r="96" spans="1:19" ht="15" customHeight="1" x14ac:dyDescent="0.2">
      <c r="A96" s="302" t="s">
        <v>628</v>
      </c>
      <c r="B96" s="163">
        <v>87877.349999999424</v>
      </c>
      <c r="C96" s="163">
        <v>86519.189999999595</v>
      </c>
      <c r="D96" s="163">
        <v>62493.190000000119</v>
      </c>
      <c r="E96" s="1240">
        <f>E94*E95</f>
        <v>71943.51999999999</v>
      </c>
      <c r="F96" s="1240">
        <f>F94*F95</f>
        <v>69320.978930130368</v>
      </c>
      <c r="G96"/>
      <c r="H96" s="163">
        <f t="shared" si="31"/>
        <v>0</v>
      </c>
      <c r="I96" s="163">
        <f t="shared" si="31"/>
        <v>0</v>
      </c>
      <c r="J96" s="163">
        <f t="shared" si="31"/>
        <v>0</v>
      </c>
      <c r="K96" s="1240">
        <f t="shared" si="31"/>
        <v>8334.919999999991</v>
      </c>
      <c r="L96" s="1240">
        <f t="shared" si="31"/>
        <v>2778.3066666666709</v>
      </c>
      <c r="N96" s="302" t="s">
        <v>629</v>
      </c>
      <c r="O96" s="163">
        <v>87877.349999999424</v>
      </c>
      <c r="P96" s="163">
        <v>86519.189999999595</v>
      </c>
      <c r="Q96" s="163">
        <v>62493.190000000119</v>
      </c>
      <c r="R96" s="1240">
        <v>63608.6</v>
      </c>
      <c r="S96" s="1240">
        <v>66542.672263463697</v>
      </c>
    </row>
    <row r="97" spans="1:19" x14ac:dyDescent="0.2">
      <c r="A97" s="1202"/>
      <c r="B97" s="1242"/>
      <c r="C97" s="1242"/>
      <c r="D97" s="1242"/>
      <c r="E97" s="1241"/>
      <c r="F97" s="1241"/>
      <c r="H97" s="1242"/>
      <c r="I97" s="1242"/>
      <c r="J97" s="1242"/>
      <c r="K97" s="1241"/>
      <c r="L97" s="1241"/>
      <c r="N97" s="1202"/>
      <c r="O97" s="1242"/>
      <c r="P97" s="1242"/>
      <c r="Q97" s="1242"/>
      <c r="R97" s="1241"/>
      <c r="S97" s="1241"/>
    </row>
    <row r="98" spans="1:19" x14ac:dyDescent="0.2">
      <c r="A98" s="1202" t="s">
        <v>630</v>
      </c>
      <c r="B98" s="1182">
        <f>B100/B99</f>
        <v>14051.073432967438</v>
      </c>
      <c r="C98" s="1182">
        <f>C100/C99</f>
        <v>21566.912521070666</v>
      </c>
      <c r="D98" s="1182">
        <f>D100/D99</f>
        <v>13573.43608246379</v>
      </c>
      <c r="E98" s="1181">
        <f>+D98</f>
        <v>13573.43608246379</v>
      </c>
      <c r="F98" s="1181">
        <f>+E98</f>
        <v>13573.43608246379</v>
      </c>
      <c r="H98" s="1457">
        <f t="shared" ref="H98:L100" si="33">IFERROR(B98-O98,"")</f>
        <v>0</v>
      </c>
      <c r="I98" s="1457">
        <f t="shared" si="33"/>
        <v>0</v>
      </c>
      <c r="J98" s="1457">
        <f t="shared" si="33"/>
        <v>0</v>
      </c>
      <c r="K98" s="1456">
        <f t="shared" si="33"/>
        <v>0</v>
      </c>
      <c r="L98" s="1456">
        <f t="shared" si="33"/>
        <v>0</v>
      </c>
      <c r="N98" s="1202" t="s">
        <v>631</v>
      </c>
      <c r="O98" s="1182">
        <v>14051.073432967438</v>
      </c>
      <c r="P98" s="1182">
        <v>21566.912521070666</v>
      </c>
      <c r="Q98" s="1182">
        <v>13573.43608246379</v>
      </c>
      <c r="R98" s="1181">
        <v>13573.43608246379</v>
      </c>
      <c r="S98" s="1181">
        <v>13573.43608246379</v>
      </c>
    </row>
    <row r="99" spans="1:19" x14ac:dyDescent="0.2">
      <c r="A99" s="327" t="s">
        <v>610</v>
      </c>
      <c r="B99" s="958">
        <f>B75</f>
        <v>4.0311404157282125</v>
      </c>
      <c r="C99" s="958">
        <f>C75</f>
        <v>3.4018624561267408</v>
      </c>
      <c r="D99" s="958">
        <f>D75</f>
        <v>2.5999997189800852</v>
      </c>
      <c r="E99" s="1245">
        <v>2.83</v>
      </c>
      <c r="F99" s="1245">
        <f>AVERAGE(C99:E99)</f>
        <v>2.9439540583689419</v>
      </c>
      <c r="H99" s="958">
        <f t="shared" si="33"/>
        <v>0</v>
      </c>
      <c r="I99" s="958">
        <f t="shared" si="33"/>
        <v>0</v>
      </c>
      <c r="J99" s="958">
        <f t="shared" si="33"/>
        <v>0</v>
      </c>
      <c r="K99" s="1245">
        <f t="shared" si="33"/>
        <v>0.22999999999999998</v>
      </c>
      <c r="L99" s="1245">
        <f t="shared" si="33"/>
        <v>7.6666666666666661E-2</v>
      </c>
      <c r="N99" s="327" t="s">
        <v>611</v>
      </c>
      <c r="O99" s="958">
        <v>4.0311404157282125</v>
      </c>
      <c r="P99" s="958">
        <v>3.4018624561267408</v>
      </c>
      <c r="Q99" s="958">
        <v>2.5999997189800852</v>
      </c>
      <c r="R99" s="1245">
        <v>2.6</v>
      </c>
      <c r="S99" s="1245">
        <v>2.8672873917022752</v>
      </c>
    </row>
    <row r="100" spans="1:19" ht="15" customHeight="1" x14ac:dyDescent="0.2">
      <c r="A100" s="302" t="s">
        <v>632</v>
      </c>
      <c r="B100" s="163">
        <v>56641.85</v>
      </c>
      <c r="C100" s="163">
        <v>73367.670000000013</v>
      </c>
      <c r="D100" s="163">
        <v>35290.93</v>
      </c>
      <c r="E100" s="1240">
        <f>E98*E99</f>
        <v>38412.824113372524</v>
      </c>
      <c r="F100" s="1240">
        <f>F98*F99</f>
        <v>39959.572240980706</v>
      </c>
      <c r="G100"/>
      <c r="H100" s="163">
        <f t="shared" si="33"/>
        <v>0</v>
      </c>
      <c r="I100" s="163">
        <f t="shared" si="33"/>
        <v>0</v>
      </c>
      <c r="J100" s="163">
        <f t="shared" si="33"/>
        <v>0</v>
      </c>
      <c r="K100" s="1240">
        <f t="shared" si="33"/>
        <v>3121.8902989666676</v>
      </c>
      <c r="L100" s="1240">
        <f t="shared" si="33"/>
        <v>1040.6300996555583</v>
      </c>
      <c r="N100" s="302" t="s">
        <v>633</v>
      </c>
      <c r="O100" s="163">
        <v>56641.85</v>
      </c>
      <c r="P100" s="163">
        <v>73367.670000000013</v>
      </c>
      <c r="Q100" s="163">
        <v>35290.93</v>
      </c>
      <c r="R100" s="1240">
        <v>35290.933814405857</v>
      </c>
      <c r="S100" s="1240">
        <v>38918.942141325148</v>
      </c>
    </row>
    <row r="101" spans="1:19" x14ac:dyDescent="0.2">
      <c r="A101" s="1202"/>
      <c r="B101" s="1242"/>
      <c r="C101" s="1242"/>
      <c r="D101" s="1242"/>
      <c r="E101" s="1241"/>
      <c r="F101" s="1241"/>
      <c r="H101" s="1242"/>
      <c r="I101" s="1242"/>
      <c r="J101" s="1242"/>
      <c r="K101" s="1241"/>
      <c r="L101" s="1241"/>
      <c r="N101" s="1202"/>
      <c r="O101" s="1242"/>
      <c r="P101" s="1242"/>
      <c r="Q101" s="1242"/>
      <c r="R101" s="1241"/>
      <c r="S101" s="1241"/>
    </row>
    <row r="102" spans="1:19" x14ac:dyDescent="0.2">
      <c r="A102" s="327" t="s">
        <v>634</v>
      </c>
      <c r="B102" s="1256">
        <v>27828.11</v>
      </c>
      <c r="C102" s="1256">
        <v>-68905.990000000005</v>
      </c>
      <c r="D102" s="1256">
        <v>22050.46</v>
      </c>
      <c r="E102" s="1255">
        <f>+D102</f>
        <v>22050.46</v>
      </c>
      <c r="F102" s="1255">
        <f>E102</f>
        <v>22050.46</v>
      </c>
      <c r="H102" s="1256">
        <f t="shared" ref="H102:L103" si="34">IFERROR(B102-O102,"")</f>
        <v>0</v>
      </c>
      <c r="I102" s="1256">
        <f t="shared" si="34"/>
        <v>0</v>
      </c>
      <c r="J102" s="1256">
        <f t="shared" si="34"/>
        <v>0</v>
      </c>
      <c r="K102" s="1255">
        <f t="shared" si="34"/>
        <v>0</v>
      </c>
      <c r="L102" s="1255">
        <f t="shared" si="34"/>
        <v>0</v>
      </c>
      <c r="N102" s="327" t="s">
        <v>634</v>
      </c>
      <c r="O102" s="1256">
        <v>27828.11</v>
      </c>
      <c r="P102" s="1256">
        <v>-68905.990000000005</v>
      </c>
      <c r="Q102" s="1256">
        <v>22050.46</v>
      </c>
      <c r="R102" s="1255">
        <v>22050.46</v>
      </c>
      <c r="S102" s="1255">
        <v>22050.46</v>
      </c>
    </row>
    <row r="103" spans="1:19" x14ac:dyDescent="0.2">
      <c r="A103" s="327" t="s">
        <v>635</v>
      </c>
      <c r="B103" s="1016">
        <v>-31203.230000000003</v>
      </c>
      <c r="C103" s="1016">
        <v>-27373.109999999997</v>
      </c>
      <c r="D103" s="1016">
        <v>-30736.62</v>
      </c>
      <c r="E103" s="1257">
        <f>+D103</f>
        <v>-30736.62</v>
      </c>
      <c r="F103" s="1257">
        <f>ROUND(E103,-3)</f>
        <v>-31000</v>
      </c>
      <c r="G103"/>
      <c r="H103" s="1016">
        <f t="shared" si="34"/>
        <v>0</v>
      </c>
      <c r="I103" s="1016">
        <f t="shared" si="34"/>
        <v>0</v>
      </c>
      <c r="J103" s="1016">
        <f t="shared" si="34"/>
        <v>0</v>
      </c>
      <c r="K103" s="1257">
        <f t="shared" si="34"/>
        <v>0</v>
      </c>
      <c r="L103" s="1257">
        <f t="shared" si="34"/>
        <v>0</v>
      </c>
      <c r="N103" s="327" t="s">
        <v>635</v>
      </c>
      <c r="O103" s="1016">
        <v>-31203.230000000003</v>
      </c>
      <c r="P103" s="1016">
        <v>-27373.109999999997</v>
      </c>
      <c r="Q103" s="1016">
        <v>-30736.62</v>
      </c>
      <c r="R103" s="1257">
        <v>-30736.62</v>
      </c>
      <c r="S103" s="1257">
        <v>-31000</v>
      </c>
    </row>
    <row r="104" spans="1:19" ht="5.0999999999999996" customHeight="1" x14ac:dyDescent="0.2">
      <c r="A104" s="1198"/>
      <c r="B104" s="1198"/>
      <c r="C104" s="1198"/>
      <c r="D104" s="1198"/>
      <c r="E104" s="1198"/>
      <c r="F104" s="1198"/>
      <c r="H104" s="1198"/>
      <c r="I104" s="1198"/>
      <c r="J104" s="1198"/>
      <c r="K104" s="1198"/>
      <c r="L104" s="1198"/>
      <c r="N104" s="1198"/>
      <c r="O104" s="1198"/>
      <c r="P104" s="1198"/>
      <c r="Q104" s="1198"/>
      <c r="R104" s="1198"/>
      <c r="S104" s="1198"/>
    </row>
    <row r="105" spans="1:19" ht="15" customHeight="1" x14ac:dyDescent="0.2">
      <c r="A105" s="1258" t="s">
        <v>636</v>
      </c>
      <c r="B105" s="1259">
        <f t="shared" ref="B105:E105" si="35">+B33+B57+B72+B76+B80+B84+B88+B92+B96+B100+B102+B103</f>
        <v>4077050.7700000005</v>
      </c>
      <c r="C105" s="1259">
        <f t="shared" si="35"/>
        <v>3635141.1999999988</v>
      </c>
      <c r="D105" s="1259">
        <f t="shared" si="35"/>
        <v>2786691.9599999995</v>
      </c>
      <c r="E105" s="1259">
        <f t="shared" si="35"/>
        <v>3224920.366624054</v>
      </c>
      <c r="F105" s="1259">
        <f>+F33+F57+F72+F76+F80+F84+F88+F92+F96+F100+F102+F103</f>
        <v>3360522.9891981403</v>
      </c>
      <c r="H105" s="1259">
        <f>IFERROR(B105-O105,"")</f>
        <v>0</v>
      </c>
      <c r="I105" s="1259">
        <f>IFERROR(C105-P105,"")</f>
        <v>0</v>
      </c>
      <c r="J105" s="1259">
        <f>IFERROR(D105-Q105,"")</f>
        <v>0</v>
      </c>
      <c r="K105" s="1259">
        <f>IFERROR(E105-R105,"")</f>
        <v>118277.76225079503</v>
      </c>
      <c r="L105" s="1259">
        <f>IFERROR(F105-S105,"")</f>
        <v>39896.887157740071</v>
      </c>
      <c r="N105" s="1258" t="s">
        <v>637</v>
      </c>
      <c r="O105" s="1259">
        <v>4077050.7700000005</v>
      </c>
      <c r="P105" s="1259">
        <v>3635141.1999999988</v>
      </c>
      <c r="Q105" s="1259">
        <v>2786691.9599999995</v>
      </c>
      <c r="R105" s="1259">
        <v>3106642.604373259</v>
      </c>
      <c r="S105" s="1259">
        <v>3320626.1020404003</v>
      </c>
    </row>
    <row r="106" spans="1:19" x14ac:dyDescent="0.2">
      <c r="B106" s="1260"/>
      <c r="C106" s="744"/>
      <c r="D106" s="744"/>
      <c r="E106" s="744"/>
      <c r="F106" s="744"/>
    </row>
  </sheetData>
  <mergeCells count="4">
    <mergeCell ref="H4:L5"/>
    <mergeCell ref="N4:S5"/>
    <mergeCell ref="H6:J6"/>
    <mergeCell ref="O6:Q6"/>
  </mergeCells>
  <pageMargins left="1" right="0.75" top="0.75" bottom="0.5" header="0.5" footer="0.5"/>
  <pageSetup scale="69" orientation="portrait" r:id="rId1"/>
  <headerFooter>
    <oddFooter>&amp;L&amp;KFF0000Final Rate Application&amp;CPage &amp;P of &amp;N&amp;R02/10/2017</oddFooter>
  </headerFooter>
  <rowBreaks count="1" manualBreakCount="1">
    <brk id="57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S32"/>
  <sheetViews>
    <sheetView showOutlineSymbols="0" zoomScaleNormal="100" workbookViewId="0"/>
  </sheetViews>
  <sheetFormatPr defaultRowHeight="12.75" x14ac:dyDescent="0.2"/>
  <cols>
    <col min="1" max="1" width="37.7109375" style="12" customWidth="1"/>
    <col min="2" max="4" width="14.42578125" style="12" customWidth="1"/>
    <col min="5" max="6" width="17.140625" style="12" customWidth="1"/>
    <col min="7" max="7" width="1.7109375" style="12" customWidth="1"/>
    <col min="8" max="10" width="13.140625" style="12" customWidth="1"/>
    <col min="11" max="11" width="13.7109375" style="12" customWidth="1"/>
    <col min="12" max="12" width="17.7109375" style="12" bestFit="1" customWidth="1"/>
    <col min="13" max="13" width="2.28515625" style="12" customWidth="1"/>
    <col min="14" max="14" width="36.28515625" style="12" bestFit="1" customWidth="1"/>
    <col min="15" max="17" width="13.28515625" style="12" customWidth="1"/>
    <col min="18" max="18" width="15.85546875" style="12" customWidth="1"/>
    <col min="19" max="19" width="17.7109375" style="12" bestFit="1" customWidth="1"/>
    <col min="20" max="16384" width="9.140625" style="12"/>
  </cols>
  <sheetData>
    <row r="1" spans="1:19" x14ac:dyDescent="0.2">
      <c r="A1" s="112" t="s">
        <v>0</v>
      </c>
    </row>
    <row r="2" spans="1:19" x14ac:dyDescent="0.2">
      <c r="A2" s="1117" t="s">
        <v>638</v>
      </c>
    </row>
    <row r="3" spans="1:19" ht="12.75" customHeight="1" x14ac:dyDescent="0.2">
      <c r="A3" s="1131" t="s">
        <v>54</v>
      </c>
      <c r="H3" s="1522" t="s">
        <v>74</v>
      </c>
      <c r="I3" s="1596"/>
      <c r="J3" s="1596"/>
      <c r="K3" s="1596"/>
      <c r="L3" s="1524"/>
      <c r="M3" s="867"/>
      <c r="N3" s="1497" t="s">
        <v>75</v>
      </c>
      <c r="O3" s="1600"/>
      <c r="P3" s="1600"/>
      <c r="Q3" s="1600"/>
      <c r="R3" s="1600"/>
      <c r="S3" s="1499"/>
    </row>
    <row r="4" spans="1:19" ht="12.75" customHeight="1" x14ac:dyDescent="0.2">
      <c r="A4"/>
      <c r="H4" s="1531"/>
      <c r="I4" s="1598"/>
      <c r="J4" s="1598"/>
      <c r="K4" s="1598"/>
      <c r="L4" s="1599"/>
      <c r="M4" s="867"/>
      <c r="N4" s="1500"/>
      <c r="O4" s="1601"/>
      <c r="P4" s="1601"/>
      <c r="Q4" s="1601"/>
      <c r="R4" s="1601"/>
      <c r="S4" s="1602"/>
    </row>
    <row r="5" spans="1:19" ht="16.5" customHeight="1" x14ac:dyDescent="0.25">
      <c r="B5" s="1172" t="s">
        <v>207</v>
      </c>
      <c r="C5" s="1173"/>
      <c r="D5" s="1174"/>
      <c r="E5" s="1261" t="s">
        <v>208</v>
      </c>
      <c r="F5" s="19" t="s">
        <v>209</v>
      </c>
      <c r="H5" s="1585" t="s">
        <v>207</v>
      </c>
      <c r="I5" s="1586"/>
      <c r="J5" s="1587"/>
      <c r="K5" s="909" t="s">
        <v>208</v>
      </c>
      <c r="L5" s="910" t="s">
        <v>209</v>
      </c>
      <c r="N5" s="1093"/>
      <c r="O5" s="1585" t="s">
        <v>207</v>
      </c>
      <c r="P5" s="1586"/>
      <c r="Q5" s="1587"/>
      <c r="R5" s="909" t="s">
        <v>208</v>
      </c>
      <c r="S5" s="910" t="s">
        <v>209</v>
      </c>
    </row>
    <row r="6" spans="1:19" ht="18" customHeight="1" x14ac:dyDescent="0.25">
      <c r="A6" s="1262"/>
      <c r="B6" s="1176" t="s">
        <v>102</v>
      </c>
      <c r="C6" s="1176" t="s">
        <v>103</v>
      </c>
      <c r="D6" s="1176" t="s">
        <v>104</v>
      </c>
      <c r="E6" s="267" t="s">
        <v>99</v>
      </c>
      <c r="F6" s="19" t="s">
        <v>69</v>
      </c>
      <c r="H6" s="912" t="s">
        <v>102</v>
      </c>
      <c r="I6" s="912" t="s">
        <v>103</v>
      </c>
      <c r="J6" s="912" t="s">
        <v>104</v>
      </c>
      <c r="K6" s="913" t="s">
        <v>99</v>
      </c>
      <c r="L6" s="914" t="s">
        <v>69</v>
      </c>
      <c r="N6" s="1140"/>
      <c r="O6" s="912" t="s">
        <v>102</v>
      </c>
      <c r="P6" s="912" t="s">
        <v>103</v>
      </c>
      <c r="Q6" s="912" t="s">
        <v>104</v>
      </c>
      <c r="R6" s="913" t="s">
        <v>99</v>
      </c>
      <c r="S6" s="914" t="s">
        <v>69</v>
      </c>
    </row>
    <row r="7" spans="1:19" ht="18" customHeight="1" x14ac:dyDescent="0.2">
      <c r="A7" s="1270" t="s">
        <v>639</v>
      </c>
      <c r="B7" s="1122"/>
      <c r="C7" s="1122"/>
      <c r="D7" s="1122"/>
      <c r="E7" s="1122"/>
      <c r="F7" s="1122"/>
      <c r="H7" s="1122"/>
      <c r="I7" s="1122"/>
      <c r="J7" s="1122"/>
      <c r="K7" s="1122"/>
      <c r="L7" s="1122"/>
      <c r="N7" s="1263" t="s">
        <v>640</v>
      </c>
      <c r="O7" s="327"/>
      <c r="P7" s="327"/>
      <c r="Q7" s="327"/>
      <c r="R7" s="327"/>
      <c r="S7" s="327"/>
    </row>
    <row r="8" spans="1:19" ht="17.25" customHeight="1" x14ac:dyDescent="0.2">
      <c r="A8" s="344" t="s">
        <v>641</v>
      </c>
      <c r="B8" s="1079">
        <f>+L.3!B16</f>
        <v>14166.156270266409</v>
      </c>
      <c r="C8" s="1079">
        <f>+L.3!C16</f>
        <v>8822.1763340324869</v>
      </c>
      <c r="D8" s="1079">
        <f>L.3!D16</f>
        <v>3050.5296635410923</v>
      </c>
      <c r="E8" s="1127">
        <f>L.3!E16+L.3!E26</f>
        <v>0</v>
      </c>
      <c r="F8" s="1127">
        <f>L.3!F16+L.3!F26</f>
        <v>0</v>
      </c>
      <c r="H8" s="1079">
        <f>IFERROR(B8-O8,"")</f>
        <v>0</v>
      </c>
      <c r="I8" s="1079">
        <f>IFERROR(C8-P8,"")</f>
        <v>0</v>
      </c>
      <c r="J8" s="1079">
        <f>IFERROR(D8-Q8,"")</f>
        <v>0</v>
      </c>
      <c r="K8" s="1127">
        <f>IFERROR(E8-R8,"")</f>
        <v>0</v>
      </c>
      <c r="L8" s="1127">
        <f>IFERROR(F8-S8,"")</f>
        <v>0</v>
      </c>
      <c r="N8" s="344" t="s">
        <v>641</v>
      </c>
      <c r="O8" s="1079">
        <v>14166.156270266409</v>
      </c>
      <c r="P8" s="1079">
        <v>8822.1763340324869</v>
      </c>
      <c r="Q8" s="1079">
        <v>3050.5296635410923</v>
      </c>
      <c r="R8" s="1127">
        <v>0</v>
      </c>
      <c r="S8" s="1127">
        <v>0</v>
      </c>
    </row>
    <row r="9" spans="1:19" ht="14.25" customHeight="1" x14ac:dyDescent="0.2">
      <c r="A9" s="1479" t="s">
        <v>642</v>
      </c>
      <c r="B9" s="341">
        <f>+L.3!B39</f>
        <v>885.38476689165054</v>
      </c>
      <c r="C9" s="341">
        <f>+L.3!C39</f>
        <v>6786.2894877172985</v>
      </c>
      <c r="D9" s="341">
        <f>+L.3!D39+L.3!D50</f>
        <v>13169.944622173196</v>
      </c>
      <c r="E9" s="341">
        <f>+L.3!E39+L.3!E50</f>
        <v>16279.433039930635</v>
      </c>
      <c r="F9" s="341">
        <f>+L.3!F39+L.3!F50</f>
        <v>15563.147749932772</v>
      </c>
      <c r="H9" s="341">
        <f t="shared" ref="H9:L31" si="0">IFERROR(B9-O9,"")</f>
        <v>0</v>
      </c>
      <c r="I9" s="341">
        <f t="shared" si="0"/>
        <v>0</v>
      </c>
      <c r="J9" s="341">
        <f t="shared" si="0"/>
        <v>0</v>
      </c>
      <c r="K9" s="341">
        <f t="shared" si="0"/>
        <v>111.62567666533141</v>
      </c>
      <c r="L9" s="341">
        <f t="shared" si="0"/>
        <v>-279.85804293610454</v>
      </c>
      <c r="N9" s="340" t="s">
        <v>642</v>
      </c>
      <c r="O9" s="341">
        <v>885.38476689165054</v>
      </c>
      <c r="P9" s="341">
        <v>6786.2894877172985</v>
      </c>
      <c r="Q9" s="341">
        <v>13169.944622173196</v>
      </c>
      <c r="R9" s="341">
        <v>16167.807363265303</v>
      </c>
      <c r="S9" s="341">
        <v>15843.005792868877</v>
      </c>
    </row>
    <row r="10" spans="1:19" ht="17.25" customHeight="1" x14ac:dyDescent="0.2">
      <c r="A10" s="1480" t="s">
        <v>643</v>
      </c>
      <c r="B10" s="1210">
        <f t="shared" ref="B10:F10" si="1">SUM(B8:B9)</f>
        <v>15051.541037158058</v>
      </c>
      <c r="C10" s="1210">
        <f t="shared" si="1"/>
        <v>15608.465821749785</v>
      </c>
      <c r="D10" s="1210">
        <f t="shared" si="1"/>
        <v>16220.474285714288</v>
      </c>
      <c r="E10" s="1210">
        <f t="shared" si="1"/>
        <v>16279.433039930635</v>
      </c>
      <c r="F10" s="1210">
        <f t="shared" si="1"/>
        <v>15563.147749932772</v>
      </c>
      <c r="H10" s="1210">
        <f t="shared" si="0"/>
        <v>0</v>
      </c>
      <c r="I10" s="1210">
        <f t="shared" si="0"/>
        <v>0</v>
      </c>
      <c r="J10" s="1210">
        <f t="shared" si="0"/>
        <v>0</v>
      </c>
      <c r="K10" s="1210">
        <f t="shared" si="0"/>
        <v>111.62567666533141</v>
      </c>
      <c r="L10" s="1210">
        <f t="shared" si="0"/>
        <v>-279.85804293610454</v>
      </c>
      <c r="N10" s="318" t="s">
        <v>643</v>
      </c>
      <c r="O10" s="1210">
        <v>15051.541037158058</v>
      </c>
      <c r="P10" s="1210">
        <v>15608.465821749785</v>
      </c>
      <c r="Q10" s="1210">
        <v>16220.474285714288</v>
      </c>
      <c r="R10" s="1210">
        <v>16167.807363265303</v>
      </c>
      <c r="S10" s="1210">
        <v>15843.005792868877</v>
      </c>
    </row>
    <row r="11" spans="1:19" ht="11.25" customHeight="1" x14ac:dyDescent="0.2">
      <c r="A11" s="1481"/>
      <c r="B11" s="327"/>
      <c r="C11" s="327"/>
      <c r="D11" s="327"/>
      <c r="E11" s="327"/>
      <c r="F11" s="327"/>
      <c r="H11" s="327"/>
      <c r="I11" s="327"/>
      <c r="J11" s="327"/>
      <c r="K11" s="327"/>
      <c r="L11" s="327"/>
      <c r="N11" s="1264"/>
      <c r="O11" s="327"/>
      <c r="P11" s="327"/>
      <c r="Q11" s="327"/>
      <c r="R11" s="327"/>
      <c r="S11" s="327"/>
    </row>
    <row r="12" spans="1:19" x14ac:dyDescent="0.2">
      <c r="A12" s="1055" t="s">
        <v>644</v>
      </c>
      <c r="B12" s="1265">
        <v>1</v>
      </c>
      <c r="C12" s="1265">
        <v>1</v>
      </c>
      <c r="D12" s="1265">
        <f>ROUND(1+(1*4.5/12),2)</f>
        <v>1.38</v>
      </c>
      <c r="E12" s="1266">
        <v>2</v>
      </c>
      <c r="F12" s="1266">
        <v>2</v>
      </c>
      <c r="H12" s="1210">
        <f t="shared" si="0"/>
        <v>0</v>
      </c>
      <c r="I12" s="1210">
        <f t="shared" si="0"/>
        <v>0</v>
      </c>
      <c r="J12" s="1210">
        <f t="shared" si="0"/>
        <v>0</v>
      </c>
      <c r="K12" s="1210">
        <f t="shared" si="0"/>
        <v>0</v>
      </c>
      <c r="L12" s="1210">
        <f t="shared" si="0"/>
        <v>0</v>
      </c>
      <c r="N12" s="325" t="s">
        <v>644</v>
      </c>
      <c r="O12" s="1265">
        <v>1</v>
      </c>
      <c r="P12" s="1265">
        <v>1</v>
      </c>
      <c r="Q12" s="1265">
        <v>1.38</v>
      </c>
      <c r="R12" s="1266">
        <v>2</v>
      </c>
      <c r="S12" s="1266">
        <v>2</v>
      </c>
    </row>
    <row r="13" spans="1:19" x14ac:dyDescent="0.2">
      <c r="A13" s="1055"/>
      <c r="B13" s="327"/>
      <c r="C13" s="327"/>
      <c r="D13" s="327"/>
      <c r="E13" s="327"/>
      <c r="F13" s="327"/>
      <c r="H13" s="327"/>
      <c r="I13" s="327"/>
      <c r="J13" s="327"/>
      <c r="K13" s="327"/>
      <c r="L13" s="327"/>
      <c r="N13" s="325"/>
      <c r="O13" s="327"/>
      <c r="P13" s="327"/>
      <c r="Q13" s="327"/>
      <c r="R13" s="327"/>
      <c r="S13" s="327"/>
    </row>
    <row r="14" spans="1:19" x14ac:dyDescent="0.2">
      <c r="A14" s="1055" t="s">
        <v>645</v>
      </c>
      <c r="B14" s="1193">
        <f>B10*B12</f>
        <v>15051.541037158058</v>
      </c>
      <c r="C14" s="1193">
        <f>C10*C12</f>
        <v>15608.465821749785</v>
      </c>
      <c r="D14" s="1193">
        <f>D10*D12</f>
        <v>22384.254514285716</v>
      </c>
      <c r="E14" s="1193">
        <f t="shared" ref="E14:F14" si="2">E10*E12</f>
        <v>32558.866079861269</v>
      </c>
      <c r="F14" s="1193">
        <f t="shared" si="2"/>
        <v>31126.295499865544</v>
      </c>
      <c r="G14" s="1267"/>
      <c r="H14" s="1210">
        <f t="shared" si="0"/>
        <v>0</v>
      </c>
      <c r="I14" s="1210">
        <f t="shared" si="0"/>
        <v>0</v>
      </c>
      <c r="J14" s="1210">
        <f t="shared" si="0"/>
        <v>0</v>
      </c>
      <c r="K14" s="1210">
        <f t="shared" si="0"/>
        <v>223.25135333066282</v>
      </c>
      <c r="L14" s="1210">
        <f t="shared" si="0"/>
        <v>-559.71608587220908</v>
      </c>
      <c r="N14" s="325" t="s">
        <v>645</v>
      </c>
      <c r="O14" s="1193">
        <v>15051.541037158058</v>
      </c>
      <c r="P14" s="1193">
        <v>15608.465821749785</v>
      </c>
      <c r="Q14" s="1193">
        <v>22384.254514285716</v>
      </c>
      <c r="R14" s="1193">
        <v>32335.614726530606</v>
      </c>
      <c r="S14" s="1193">
        <v>31686.011585737753</v>
      </c>
    </row>
    <row r="15" spans="1:19" x14ac:dyDescent="0.2">
      <c r="A15" s="921" t="s">
        <v>646</v>
      </c>
      <c r="B15" s="1268">
        <v>25</v>
      </c>
      <c r="C15" s="1268">
        <v>25</v>
      </c>
      <c r="D15" s="1269">
        <v>25</v>
      </c>
      <c r="E15" s="1268">
        <v>25</v>
      </c>
      <c r="F15" s="1268">
        <f>E15</f>
        <v>25</v>
      </c>
      <c r="G15" s="923"/>
      <c r="H15" s="1268">
        <f t="shared" si="0"/>
        <v>0</v>
      </c>
      <c r="I15" s="1268">
        <f t="shared" si="0"/>
        <v>0</v>
      </c>
      <c r="J15" s="1269">
        <f t="shared" si="0"/>
        <v>0</v>
      </c>
      <c r="K15" s="1268">
        <f t="shared" si="0"/>
        <v>0</v>
      </c>
      <c r="L15" s="1268">
        <f t="shared" si="0"/>
        <v>0</v>
      </c>
      <c r="N15" s="921" t="s">
        <v>646</v>
      </c>
      <c r="O15" s="1268">
        <v>25</v>
      </c>
      <c r="P15" s="1268">
        <v>25</v>
      </c>
      <c r="Q15" s="1269">
        <v>25</v>
      </c>
      <c r="R15" s="1268">
        <v>25</v>
      </c>
      <c r="S15" s="1268">
        <v>25</v>
      </c>
    </row>
    <row r="16" spans="1:19" ht="19.5" customHeight="1" x14ac:dyDescent="0.2">
      <c r="A16" s="315" t="s">
        <v>647</v>
      </c>
      <c r="B16" s="316">
        <f>B15*B14</f>
        <v>376288.52592895145</v>
      </c>
      <c r="C16" s="316">
        <f>C15*C14</f>
        <v>390211.64554374461</v>
      </c>
      <c r="D16" s="316">
        <f>D15*D14</f>
        <v>559606.36285714293</v>
      </c>
      <c r="E16" s="316">
        <f t="shared" ref="E16:F16" si="3">E15*E14</f>
        <v>813971.65199653176</v>
      </c>
      <c r="F16" s="316">
        <f t="shared" si="3"/>
        <v>778157.38749663858</v>
      </c>
      <c r="G16"/>
      <c r="H16" s="316">
        <f t="shared" si="0"/>
        <v>0</v>
      </c>
      <c r="I16" s="316">
        <f t="shared" si="0"/>
        <v>0</v>
      </c>
      <c r="J16" s="316">
        <f t="shared" si="0"/>
        <v>0</v>
      </c>
      <c r="K16" s="316">
        <f t="shared" si="0"/>
        <v>5581.2838332665851</v>
      </c>
      <c r="L16" s="316">
        <f t="shared" si="0"/>
        <v>-13992.902146805311</v>
      </c>
      <c r="N16" s="315" t="s">
        <v>648</v>
      </c>
      <c r="O16" s="316">
        <v>376288.52592895145</v>
      </c>
      <c r="P16" s="316">
        <v>390211.64554374461</v>
      </c>
      <c r="Q16" s="316">
        <v>559606.36285714293</v>
      </c>
      <c r="R16" s="316">
        <v>808390.36816326517</v>
      </c>
      <c r="S16" s="316">
        <v>792150.28964344389</v>
      </c>
    </row>
    <row r="17" spans="1:19" x14ac:dyDescent="0.2">
      <c r="A17" s="1270"/>
      <c r="B17" s="1216"/>
      <c r="C17" s="1271"/>
      <c r="D17" s="1216"/>
      <c r="E17" s="1271"/>
      <c r="F17" s="1216"/>
      <c r="H17" s="1472"/>
      <c r="I17" s="1216"/>
      <c r="J17" s="1271"/>
      <c r="K17" s="1216"/>
      <c r="L17" s="1473"/>
      <c r="N17" s="1270"/>
      <c r="O17" s="1271"/>
      <c r="P17" s="1271"/>
      <c r="Q17" s="1271"/>
      <c r="R17" s="1271"/>
      <c r="S17" s="557"/>
    </row>
    <row r="18" spans="1:19" x14ac:dyDescent="0.2">
      <c r="A18" s="315" t="s">
        <v>649</v>
      </c>
      <c r="B18" s="1483"/>
      <c r="C18" s="1272"/>
      <c r="D18" s="1483"/>
      <c r="E18" s="1273"/>
      <c r="F18" s="922"/>
      <c r="H18" s="1474"/>
      <c r="I18" s="1483"/>
      <c r="J18" s="1272"/>
      <c r="K18" s="922"/>
      <c r="L18" s="1475"/>
      <c r="N18" s="315" t="s">
        <v>649</v>
      </c>
      <c r="O18" s="1272"/>
      <c r="P18" s="1272"/>
      <c r="Q18" s="1272"/>
      <c r="R18" s="1273"/>
      <c r="S18" s="1274"/>
    </row>
    <row r="19" spans="1:19" x14ac:dyDescent="0.2">
      <c r="A19" s="1219"/>
      <c r="B19" s="1275"/>
      <c r="C19" s="1275"/>
      <c r="D19" s="1275"/>
      <c r="E19" s="1275"/>
      <c r="F19" s="1275"/>
      <c r="H19" s="1276"/>
      <c r="I19" s="1277"/>
      <c r="J19" s="1275"/>
      <c r="K19" s="1275"/>
      <c r="L19" s="1275"/>
      <c r="N19" s="1219"/>
      <c r="O19" s="1275"/>
      <c r="P19" s="1275"/>
      <c r="Q19" s="1275"/>
      <c r="R19" s="1275"/>
      <c r="S19" s="1275"/>
    </row>
    <row r="20" spans="1:19" x14ac:dyDescent="0.2">
      <c r="A20" s="1278" t="s">
        <v>641</v>
      </c>
      <c r="B20" s="1280">
        <f>+L.3!B65</f>
        <v>13321</v>
      </c>
      <c r="C20" s="1280">
        <f>+L.3!C65</f>
        <v>13909</v>
      </c>
      <c r="D20" s="1280">
        <f>+L.3!D65</f>
        <v>13623</v>
      </c>
      <c r="E20" s="1279">
        <f>L.3!E65</f>
        <v>13826.563657536542</v>
      </c>
      <c r="F20" s="1476">
        <f>L.3!F65</f>
        <v>13787.307099731082</v>
      </c>
      <c r="H20" s="426">
        <f t="shared" si="0"/>
        <v>0</v>
      </c>
      <c r="I20" s="1280">
        <f t="shared" si="0"/>
        <v>0</v>
      </c>
      <c r="J20" s="1280">
        <f t="shared" si="0"/>
        <v>0</v>
      </c>
      <c r="K20" s="1279">
        <f t="shared" si="0"/>
        <v>130.09140825630129</v>
      </c>
      <c r="L20" s="1476">
        <f t="shared" si="0"/>
        <v>334.2319928911711</v>
      </c>
      <c r="N20" s="1278" t="s">
        <v>641</v>
      </c>
      <c r="O20" s="1280">
        <v>13321</v>
      </c>
      <c r="P20" s="1280">
        <v>13909</v>
      </c>
      <c r="Q20" s="1280">
        <v>13623</v>
      </c>
      <c r="R20" s="1279">
        <v>13696.472249280241</v>
      </c>
      <c r="S20" s="1279">
        <v>13453.075106839911</v>
      </c>
    </row>
    <row r="21" spans="1:19" ht="18.75" customHeight="1" x14ac:dyDescent="0.2">
      <c r="A21" s="1281" t="s">
        <v>643</v>
      </c>
      <c r="B21" s="1212">
        <f t="shared" ref="B21:F21" si="4">SUM(B20:B20)</f>
        <v>13321</v>
      </c>
      <c r="C21" s="1212">
        <f t="shared" si="4"/>
        <v>13909</v>
      </c>
      <c r="D21" s="1212">
        <f t="shared" si="4"/>
        <v>13623</v>
      </c>
      <c r="E21" s="1212">
        <f t="shared" si="4"/>
        <v>13826.563657536542</v>
      </c>
      <c r="F21" s="1212">
        <f t="shared" si="4"/>
        <v>13787.307099731082</v>
      </c>
      <c r="H21" s="1212">
        <f t="shared" si="0"/>
        <v>0</v>
      </c>
      <c r="I21" s="1477">
        <f t="shared" si="0"/>
        <v>0</v>
      </c>
      <c r="J21" s="1212">
        <f t="shared" si="0"/>
        <v>0</v>
      </c>
      <c r="K21" s="1212">
        <f t="shared" si="0"/>
        <v>130.09140825630129</v>
      </c>
      <c r="L21" s="1212">
        <f t="shared" si="0"/>
        <v>334.2319928911711</v>
      </c>
      <c r="N21" s="1281" t="s">
        <v>643</v>
      </c>
      <c r="O21" s="1212">
        <v>13321</v>
      </c>
      <c r="P21" s="1212">
        <v>13909</v>
      </c>
      <c r="Q21" s="1212">
        <v>13623</v>
      </c>
      <c r="R21" s="1212">
        <v>13696.472249280241</v>
      </c>
      <c r="S21" s="1212">
        <v>13453.075106839911</v>
      </c>
    </row>
    <row r="22" spans="1:19" x14ac:dyDescent="0.2">
      <c r="A22" s="1188"/>
      <c r="B22" s="327"/>
      <c r="C22" s="327"/>
      <c r="D22" s="327"/>
      <c r="E22" s="327"/>
      <c r="F22" s="327"/>
      <c r="H22" s="327"/>
      <c r="I22" s="766"/>
      <c r="J22" s="327"/>
      <c r="K22" s="327"/>
      <c r="L22" s="327"/>
      <c r="N22" s="1188"/>
      <c r="O22" s="327"/>
      <c r="P22" s="327"/>
      <c r="Q22" s="327"/>
      <c r="R22" s="327"/>
      <c r="S22" s="327"/>
    </row>
    <row r="23" spans="1:19" x14ac:dyDescent="0.2">
      <c r="A23" s="1055" t="s">
        <v>644</v>
      </c>
      <c r="B23" s="1265">
        <v>1.3806758173441889</v>
      </c>
      <c r="C23" s="1265">
        <v>1.4193236449960609</v>
      </c>
      <c r="D23" s="1282">
        <v>1.4236506706095775</v>
      </c>
      <c r="E23" s="1282">
        <v>1.42</v>
      </c>
      <c r="F23" s="1282">
        <f>E23</f>
        <v>1.42</v>
      </c>
      <c r="H23" s="1210">
        <f t="shared" si="0"/>
        <v>0</v>
      </c>
      <c r="I23" s="1210">
        <f t="shared" si="0"/>
        <v>0</v>
      </c>
      <c r="J23" s="1210">
        <f t="shared" si="0"/>
        <v>0</v>
      </c>
      <c r="K23" s="1210">
        <f t="shared" si="0"/>
        <v>0</v>
      </c>
      <c r="L23" s="1210">
        <f t="shared" si="0"/>
        <v>0</v>
      </c>
      <c r="N23" s="1055" t="s">
        <v>644</v>
      </c>
      <c r="O23" s="1265">
        <v>1.3806758173441889</v>
      </c>
      <c r="P23" s="1265">
        <v>1.4193236449960609</v>
      </c>
      <c r="Q23" s="1282">
        <v>1.4236506706095775</v>
      </c>
      <c r="R23" s="1282">
        <v>1.42</v>
      </c>
      <c r="S23" s="1282">
        <v>1.42</v>
      </c>
    </row>
    <row r="24" spans="1:19" x14ac:dyDescent="0.2">
      <c r="A24" s="1055"/>
      <c r="B24" s="327"/>
      <c r="C24" s="327"/>
      <c r="D24" s="327"/>
      <c r="E24" s="327"/>
      <c r="F24" s="327"/>
      <c r="H24" s="327"/>
      <c r="I24" s="766"/>
      <c r="J24" s="327"/>
      <c r="K24" s="327"/>
      <c r="L24" s="327"/>
      <c r="N24" s="1055"/>
      <c r="O24" s="327"/>
      <c r="P24" s="327"/>
      <c r="Q24" s="327"/>
      <c r="R24" s="327"/>
      <c r="S24" s="327"/>
    </row>
    <row r="25" spans="1:19" x14ac:dyDescent="0.2">
      <c r="A25" s="1055" t="s">
        <v>645</v>
      </c>
      <c r="B25" s="1193">
        <f t="shared" ref="B25:E25" si="5">B21*B23</f>
        <v>18391.982562841938</v>
      </c>
      <c r="C25" s="1193">
        <f t="shared" si="5"/>
        <v>19741.372578250212</v>
      </c>
      <c r="D25" s="1193">
        <f t="shared" si="5"/>
        <v>19394.393085714273</v>
      </c>
      <c r="E25" s="1193">
        <f t="shared" si="5"/>
        <v>19633.720393701889</v>
      </c>
      <c r="F25" s="1193">
        <f>F21*F23</f>
        <v>19577.976081618137</v>
      </c>
      <c r="H25" s="1210">
        <f t="shared" si="0"/>
        <v>0</v>
      </c>
      <c r="I25" s="1210">
        <f t="shared" si="0"/>
        <v>0</v>
      </c>
      <c r="J25" s="1210">
        <f t="shared" si="0"/>
        <v>0</v>
      </c>
      <c r="K25" s="1210">
        <f t="shared" si="0"/>
        <v>184.72979972394751</v>
      </c>
      <c r="L25" s="1210">
        <f t="shared" si="0"/>
        <v>474.60942990546391</v>
      </c>
      <c r="N25" s="1055" t="s">
        <v>645</v>
      </c>
      <c r="O25" s="1193">
        <v>18391.982562841938</v>
      </c>
      <c r="P25" s="1193">
        <v>19741.372578250212</v>
      </c>
      <c r="Q25" s="1193">
        <v>19394.393085714273</v>
      </c>
      <c r="R25" s="1193">
        <v>19448.990593977942</v>
      </c>
      <c r="S25" s="1193">
        <v>19103.366651712673</v>
      </c>
    </row>
    <row r="26" spans="1:19" x14ac:dyDescent="0.2">
      <c r="A26" s="921" t="s">
        <v>646</v>
      </c>
      <c r="B26" s="1284">
        <f>B15</f>
        <v>25</v>
      </c>
      <c r="C26" s="1284">
        <f>C15</f>
        <v>25</v>
      </c>
      <c r="D26" s="1285">
        <f>D15</f>
        <v>25</v>
      </c>
      <c r="E26" s="1284">
        <v>25</v>
      </c>
      <c r="F26" s="1284">
        <v>25</v>
      </c>
      <c r="H26" s="1284">
        <f t="shared" si="0"/>
        <v>0</v>
      </c>
      <c r="I26" s="1286">
        <f t="shared" si="0"/>
        <v>0</v>
      </c>
      <c r="J26" s="1285">
        <f t="shared" si="0"/>
        <v>0</v>
      </c>
      <c r="K26" s="1284">
        <f t="shared" si="0"/>
        <v>0</v>
      </c>
      <c r="L26" s="1284">
        <f t="shared" si="0"/>
        <v>0</v>
      </c>
      <c r="N26" s="1283" t="s">
        <v>646</v>
      </c>
      <c r="O26" s="1284">
        <v>25</v>
      </c>
      <c r="P26" s="1284">
        <v>25</v>
      </c>
      <c r="Q26" s="1285">
        <v>25</v>
      </c>
      <c r="R26" s="1284">
        <v>25</v>
      </c>
      <c r="S26" s="1284">
        <v>25</v>
      </c>
    </row>
    <row r="27" spans="1:19" ht="19.5" customHeight="1" x14ac:dyDescent="0.2">
      <c r="A27" s="1287" t="s">
        <v>650</v>
      </c>
      <c r="B27" s="1288">
        <f t="shared" ref="B27:F27" si="6">B26*B25</f>
        <v>459799.56407104846</v>
      </c>
      <c r="C27" s="1288">
        <f t="shared" si="6"/>
        <v>493534.31445625529</v>
      </c>
      <c r="D27" s="1288">
        <f>D26*D25</f>
        <v>484859.82714285684</v>
      </c>
      <c r="E27" s="1288">
        <f t="shared" si="6"/>
        <v>490843.00984254724</v>
      </c>
      <c r="F27" s="1288">
        <f t="shared" si="6"/>
        <v>489449.40204045339</v>
      </c>
      <c r="H27" s="1289">
        <f t="shared" si="0"/>
        <v>0</v>
      </c>
      <c r="I27" s="1290">
        <f t="shared" si="0"/>
        <v>0</v>
      </c>
      <c r="J27" s="1289">
        <f t="shared" si="0"/>
        <v>0</v>
      </c>
      <c r="K27" s="1289">
        <f t="shared" si="0"/>
        <v>4618.2449930986622</v>
      </c>
      <c r="L27" s="1289">
        <f t="shared" si="0"/>
        <v>11865.235747636587</v>
      </c>
      <c r="N27" s="1291" t="s">
        <v>651</v>
      </c>
      <c r="O27" s="1289">
        <v>459799.56407104846</v>
      </c>
      <c r="P27" s="1289">
        <v>493534.31445625529</v>
      </c>
      <c r="Q27" s="1289">
        <v>484859.82714285684</v>
      </c>
      <c r="R27" s="1289">
        <v>486224.76484944858</v>
      </c>
      <c r="S27" s="1289">
        <v>477584.16629281681</v>
      </c>
    </row>
    <row r="28" spans="1:19" ht="7.5" customHeight="1" x14ac:dyDescent="0.2">
      <c r="A28" s="1122"/>
      <c r="B28" s="1482"/>
      <c r="C28" s="1482"/>
      <c r="D28" s="1482"/>
      <c r="E28" s="1482"/>
      <c r="F28" s="1482"/>
      <c r="H28" s="327"/>
      <c r="I28" s="766"/>
      <c r="J28" s="766"/>
      <c r="K28" s="766"/>
      <c r="L28" s="766"/>
      <c r="N28" s="1055"/>
      <c r="O28" s="766"/>
      <c r="P28" s="766"/>
      <c r="Q28" s="766"/>
      <c r="R28" s="766"/>
      <c r="S28" s="766"/>
    </row>
    <row r="29" spans="1:19" ht="13.5" hidden="1" customHeight="1" x14ac:dyDescent="0.2">
      <c r="A29" s="330" t="s">
        <v>652</v>
      </c>
      <c r="B29" s="1292"/>
      <c r="C29" s="1292"/>
      <c r="D29" s="1292"/>
      <c r="E29" s="1292"/>
      <c r="F29" s="1292"/>
      <c r="H29" s="1210"/>
      <c r="I29" s="1292"/>
      <c r="J29" s="1292"/>
      <c r="K29" s="1292"/>
      <c r="L29" s="1292"/>
      <c r="N29" s="1293" t="s">
        <v>652</v>
      </c>
      <c r="O29" s="1292"/>
      <c r="P29" s="1292"/>
      <c r="Q29" s="1292"/>
      <c r="R29" s="1292"/>
      <c r="S29" s="1292"/>
    </row>
    <row r="30" spans="1:19" ht="5.0999999999999996" customHeight="1" x14ac:dyDescent="0.2">
      <c r="A30" s="327"/>
      <c r="B30" s="1294"/>
      <c r="C30" s="1294"/>
      <c r="D30" s="1294"/>
      <c r="E30" s="1294"/>
      <c r="F30" s="1294"/>
      <c r="H30" s="1295"/>
      <c r="I30" s="1478"/>
      <c r="J30" s="1478"/>
      <c r="K30" s="1478"/>
      <c r="L30" s="1478"/>
      <c r="N30" s="901"/>
      <c r="O30" s="1296"/>
      <c r="P30" s="1296"/>
      <c r="Q30" s="1296"/>
      <c r="R30" s="1296"/>
      <c r="S30" s="1296"/>
    </row>
    <row r="31" spans="1:19" x14ac:dyDescent="0.2">
      <c r="A31" s="317" t="s">
        <v>653</v>
      </c>
      <c r="B31" s="1297">
        <f t="shared" ref="B31:F31" si="7">+B16+B27+B29</f>
        <v>836088.08999999985</v>
      </c>
      <c r="C31" s="1297">
        <f t="shared" si="7"/>
        <v>883745.96</v>
      </c>
      <c r="D31" s="1297">
        <f>+D16+D27+D29</f>
        <v>1044466.1899999997</v>
      </c>
      <c r="E31" s="1297">
        <f t="shared" si="7"/>
        <v>1304814.6618390791</v>
      </c>
      <c r="F31" s="1297">
        <f t="shared" si="7"/>
        <v>1267606.789537092</v>
      </c>
      <c r="G31" s="707"/>
      <c r="H31" s="1259">
        <f t="shared" si="0"/>
        <v>0</v>
      </c>
      <c r="I31" s="1297">
        <f t="shared" si="0"/>
        <v>0</v>
      </c>
      <c r="J31" s="1297">
        <f t="shared" si="0"/>
        <v>0</v>
      </c>
      <c r="K31" s="1297">
        <f t="shared" si="0"/>
        <v>10199.528826365247</v>
      </c>
      <c r="L31" s="1297">
        <f t="shared" si="0"/>
        <v>-2127.6663991687819</v>
      </c>
      <c r="N31" s="1291" t="s">
        <v>653</v>
      </c>
      <c r="O31" s="1297">
        <v>836088.08999999985</v>
      </c>
      <c r="P31" s="1297">
        <v>883745.96</v>
      </c>
      <c r="Q31" s="1297">
        <v>1044466.1899999997</v>
      </c>
      <c r="R31" s="1297">
        <v>1294615.1330127139</v>
      </c>
      <c r="S31" s="1297">
        <v>1269734.4559362608</v>
      </c>
    </row>
    <row r="32" spans="1:19" x14ac:dyDescent="0.2">
      <c r="A32" s="1090"/>
      <c r="B32" s="1090"/>
      <c r="C32" s="1090"/>
      <c r="D32" s="1090"/>
      <c r="E32" s="1090"/>
      <c r="F32" s="1090"/>
    </row>
  </sheetData>
  <dataConsolidate/>
  <mergeCells count="4">
    <mergeCell ref="H3:L4"/>
    <mergeCell ref="N3:S4"/>
    <mergeCell ref="H5:J5"/>
    <mergeCell ref="O5:Q5"/>
  </mergeCells>
  <pageMargins left="1" right="0.75" top="0.75" bottom="0.5" header="0.5" footer="0.5"/>
  <pageSetup orientation="landscape" r:id="rId1"/>
  <headerFooter>
    <oddFooter>&amp;L&amp;KFF0000Final Rate Application&amp;CPage &amp;P of &amp;N&amp;R02/10/2017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S19"/>
  <sheetViews>
    <sheetView showOutlineSymbols="0" zoomScaleNormal="100" workbookViewId="0"/>
  </sheetViews>
  <sheetFormatPr defaultRowHeight="12.75" x14ac:dyDescent="0.2"/>
  <cols>
    <col min="1" max="1" width="39.7109375" style="258" customWidth="1"/>
    <col min="2" max="4" width="13" style="258" customWidth="1"/>
    <col min="5" max="6" width="16.5703125" style="258" customWidth="1"/>
    <col min="7" max="7" width="1.7109375" style="258" customWidth="1"/>
    <col min="8" max="10" width="13" style="258" customWidth="1"/>
    <col min="11" max="11" width="14.85546875" style="258" customWidth="1"/>
    <col min="12" max="12" width="17.7109375" style="258" bestFit="1" customWidth="1"/>
    <col min="13" max="13" width="2.5703125" style="258" customWidth="1"/>
    <col min="14" max="14" width="23.5703125" style="258" bestFit="1" customWidth="1"/>
    <col min="15" max="17" width="12.140625" style="258" customWidth="1"/>
    <col min="18" max="18" width="14" style="258" customWidth="1"/>
    <col min="19" max="19" width="17.7109375" style="258" bestFit="1" customWidth="1"/>
    <col min="20" max="16384" width="9.140625" style="258"/>
  </cols>
  <sheetData>
    <row r="1" spans="1:19" x14ac:dyDescent="0.2">
      <c r="A1" s="112" t="str">
        <f>B!$A$2</f>
        <v>Recology San Francisco</v>
      </c>
    </row>
    <row r="2" spans="1:19" x14ac:dyDescent="0.2">
      <c r="A2" s="1117" t="s">
        <v>654</v>
      </c>
      <c r="H2" s="121"/>
      <c r="I2" s="121"/>
      <c r="J2" s="121"/>
      <c r="K2" s="121"/>
      <c r="L2" s="1132" t="s">
        <v>97</v>
      </c>
      <c r="M2" s="121"/>
      <c r="N2" s="121"/>
      <c r="O2" s="121"/>
      <c r="P2" s="121"/>
      <c r="Q2" s="121"/>
      <c r="R2" s="121"/>
      <c r="S2" s="1132" t="s">
        <v>97</v>
      </c>
    </row>
    <row r="3" spans="1:19" ht="12.75" customHeight="1" x14ac:dyDescent="0.2">
      <c r="A3" s="1131" t="s">
        <v>56</v>
      </c>
      <c r="H3" s="121"/>
      <c r="I3" s="121"/>
      <c r="J3" s="121"/>
      <c r="K3" s="121"/>
      <c r="L3" s="1134">
        <f>+D!$G$5</f>
        <v>0.03</v>
      </c>
      <c r="M3" s="121"/>
      <c r="N3" s="121"/>
      <c r="O3" s="121"/>
      <c r="P3" s="121"/>
      <c r="Q3" s="121"/>
      <c r="R3" s="121"/>
      <c r="S3" s="1134">
        <f>+D!$G$5</f>
        <v>0.03</v>
      </c>
    </row>
    <row r="4" spans="1:19" ht="12.75" customHeight="1" x14ac:dyDescent="0.2">
      <c r="A4" s="1298"/>
      <c r="F4" s="1299" t="s">
        <v>97</v>
      </c>
      <c r="H4" s="1522" t="s">
        <v>74</v>
      </c>
      <c r="I4" s="1596"/>
      <c r="J4" s="1596"/>
      <c r="K4" s="1596"/>
      <c r="L4" s="1524"/>
      <c r="M4" s="867"/>
      <c r="N4" s="1497" t="s">
        <v>75</v>
      </c>
      <c r="O4" s="1600"/>
      <c r="P4" s="1600"/>
      <c r="Q4" s="1600"/>
      <c r="R4" s="1600"/>
      <c r="S4" s="1499"/>
    </row>
    <row r="5" spans="1:19" ht="12.75" customHeight="1" x14ac:dyDescent="0.2">
      <c r="A5" s="1300"/>
      <c r="E5" s="1301"/>
      <c r="F5" s="412">
        <f>+D!$G$5</f>
        <v>0.03</v>
      </c>
      <c r="H5" s="1597"/>
      <c r="I5" s="1598"/>
      <c r="J5" s="1598"/>
      <c r="K5" s="1598"/>
      <c r="L5" s="1599"/>
      <c r="M5" s="867"/>
      <c r="N5" s="1595"/>
      <c r="O5" s="1601"/>
      <c r="P5" s="1601"/>
      <c r="Q5" s="1601"/>
      <c r="R5" s="1601"/>
      <c r="S5" s="1602"/>
    </row>
    <row r="6" spans="1:19" ht="16.5" customHeight="1" x14ac:dyDescent="0.25">
      <c r="B6" s="1172" t="s">
        <v>207</v>
      </c>
      <c r="C6" s="1173"/>
      <c r="D6" s="1174"/>
      <c r="E6" s="1261" t="s">
        <v>208</v>
      </c>
      <c r="F6" s="19" t="s">
        <v>209</v>
      </c>
      <c r="H6" s="1585" t="s">
        <v>207</v>
      </c>
      <c r="I6" s="1586"/>
      <c r="J6" s="1587"/>
      <c r="K6" s="909" t="s">
        <v>208</v>
      </c>
      <c r="L6" s="910" t="s">
        <v>209</v>
      </c>
      <c r="M6" s="12"/>
      <c r="N6" s="1093"/>
      <c r="O6" s="1585" t="s">
        <v>207</v>
      </c>
      <c r="P6" s="1586"/>
      <c r="Q6" s="1587"/>
      <c r="R6" s="909" t="s">
        <v>208</v>
      </c>
      <c r="S6" s="910" t="s">
        <v>209</v>
      </c>
    </row>
    <row r="7" spans="1:19" ht="18" customHeight="1" x14ac:dyDescent="0.25">
      <c r="A7" s="1128"/>
      <c r="B7" s="1302" t="s">
        <v>102</v>
      </c>
      <c r="C7" s="1302" t="s">
        <v>103</v>
      </c>
      <c r="D7" s="1302" t="s">
        <v>104</v>
      </c>
      <c r="E7" s="267" t="s">
        <v>99</v>
      </c>
      <c r="F7" s="19" t="s">
        <v>69</v>
      </c>
      <c r="H7" s="912" t="s">
        <v>102</v>
      </c>
      <c r="I7" s="912" t="s">
        <v>103</v>
      </c>
      <c r="J7" s="912" t="s">
        <v>104</v>
      </c>
      <c r="K7" s="913" t="s">
        <v>99</v>
      </c>
      <c r="L7" s="914" t="s">
        <v>69</v>
      </c>
      <c r="M7" s="12"/>
      <c r="N7" s="1128"/>
      <c r="O7" s="912" t="s">
        <v>102</v>
      </c>
      <c r="P7" s="912" t="s">
        <v>103</v>
      </c>
      <c r="Q7" s="912" t="s">
        <v>104</v>
      </c>
      <c r="R7" s="913" t="s">
        <v>99</v>
      </c>
      <c r="S7" s="914" t="s">
        <v>69</v>
      </c>
    </row>
    <row r="8" spans="1:19" x14ac:dyDescent="0.2">
      <c r="A8" s="1303"/>
      <c r="B8" s="1079"/>
      <c r="C8" s="1079"/>
      <c r="D8" s="1079"/>
      <c r="E8" s="1079"/>
      <c r="F8" s="1079"/>
      <c r="H8" s="1079"/>
      <c r="I8" s="1079"/>
      <c r="J8" s="1079"/>
      <c r="K8" s="1079"/>
      <c r="L8" s="1079"/>
      <c r="N8" s="1303"/>
      <c r="O8" s="1079"/>
      <c r="P8" s="1079"/>
      <c r="Q8" s="1079"/>
      <c r="R8" s="1079"/>
      <c r="S8" s="1079"/>
    </row>
    <row r="9" spans="1:19" x14ac:dyDescent="0.2">
      <c r="A9" s="327" t="s">
        <v>655</v>
      </c>
      <c r="B9" s="882">
        <v>26489.23</v>
      </c>
      <c r="C9" s="882">
        <v>45129.05</v>
      </c>
      <c r="D9" s="882">
        <v>34048.639999999992</v>
      </c>
      <c r="E9" s="882">
        <v>30180</v>
      </c>
      <c r="F9" s="882">
        <f>E9*(1+$F$5)</f>
        <v>31085.4</v>
      </c>
      <c r="H9" s="882">
        <f>IFERROR(B9-O9,"")</f>
        <v>0</v>
      </c>
      <c r="I9" s="882">
        <f>IFERROR(C9-P9,"")</f>
        <v>0</v>
      </c>
      <c r="J9" s="882">
        <f>IFERROR(D9-Q9,"")</f>
        <v>0</v>
      </c>
      <c r="K9" s="882">
        <f>IFERROR(E9-R9,"")</f>
        <v>0</v>
      </c>
      <c r="L9" s="882">
        <f>IFERROR(F9-S9,"")</f>
        <v>0</v>
      </c>
      <c r="N9" s="327" t="s">
        <v>655</v>
      </c>
      <c r="O9" s="882">
        <v>26489.23</v>
      </c>
      <c r="P9" s="882">
        <v>45129.05</v>
      </c>
      <c r="Q9" s="882">
        <v>34048.639999999992</v>
      </c>
      <c r="R9" s="882">
        <v>30180</v>
      </c>
      <c r="S9" s="882">
        <v>31085.4</v>
      </c>
    </row>
    <row r="10" spans="1:19" hidden="1" x14ac:dyDescent="0.2">
      <c r="A10" s="327" t="s">
        <v>656</v>
      </c>
      <c r="B10" s="1223">
        <v>0</v>
      </c>
      <c r="C10" s="341">
        <v>0</v>
      </c>
      <c r="D10" s="341">
        <v>0</v>
      </c>
      <c r="E10" s="341">
        <v>0</v>
      </c>
      <c r="F10" s="341">
        <f>E10*(1+$F$5)</f>
        <v>0</v>
      </c>
      <c r="H10" s="1223"/>
      <c r="I10" s="341"/>
      <c r="J10" s="341"/>
      <c r="K10" s="341"/>
      <c r="L10" s="341"/>
      <c r="N10" s="327" t="s">
        <v>656</v>
      </c>
      <c r="O10" s="1223">
        <v>0</v>
      </c>
      <c r="P10" s="341">
        <v>0</v>
      </c>
      <c r="Q10" s="341">
        <v>0</v>
      </c>
      <c r="R10" s="341">
        <v>0</v>
      </c>
      <c r="S10" s="341">
        <v>0</v>
      </c>
    </row>
    <row r="11" spans="1:19" x14ac:dyDescent="0.2">
      <c r="A11" s="327" t="s">
        <v>532</v>
      </c>
      <c r="B11" s="341">
        <v>94196.76</v>
      </c>
      <c r="C11" s="341">
        <v>116527.81</v>
      </c>
      <c r="D11" s="341">
        <v>18239.879999999997</v>
      </c>
      <c r="E11" s="341">
        <v>57165</v>
      </c>
      <c r="F11" s="341">
        <f>E11*(1+$F$5)</f>
        <v>58879.950000000004</v>
      </c>
      <c r="H11" s="341">
        <f t="shared" ref="H11:L17" si="0">IFERROR(B11-O11,"")</f>
        <v>0</v>
      </c>
      <c r="I11" s="341">
        <f t="shared" si="0"/>
        <v>0</v>
      </c>
      <c r="J11" s="341">
        <f t="shared" si="0"/>
        <v>0</v>
      </c>
      <c r="K11" s="341">
        <f t="shared" si="0"/>
        <v>41001</v>
      </c>
      <c r="L11" s="341">
        <f t="shared" si="0"/>
        <v>42231.03</v>
      </c>
      <c r="N11" s="327" t="s">
        <v>532</v>
      </c>
      <c r="O11" s="341">
        <v>94196.76</v>
      </c>
      <c r="P11" s="341">
        <v>116527.81</v>
      </c>
      <c r="Q11" s="341">
        <v>18239.879999999997</v>
      </c>
      <c r="R11" s="341">
        <v>16164</v>
      </c>
      <c r="S11" s="341">
        <v>16648.920000000002</v>
      </c>
    </row>
    <row r="12" spans="1:19" hidden="1" x14ac:dyDescent="0.2">
      <c r="A12" s="327" t="s">
        <v>657</v>
      </c>
      <c r="B12" s="341">
        <v>0</v>
      </c>
      <c r="C12" s="341">
        <v>0</v>
      </c>
      <c r="D12" s="341">
        <v>0</v>
      </c>
      <c r="E12" s="341">
        <v>0</v>
      </c>
      <c r="F12" s="341">
        <f t="shared" ref="F12:F17" si="1">E12*(1+$F$5)</f>
        <v>0</v>
      </c>
      <c r="H12" s="341">
        <f t="shared" si="0"/>
        <v>0</v>
      </c>
      <c r="I12" s="341">
        <f t="shared" si="0"/>
        <v>0</v>
      </c>
      <c r="J12" s="341">
        <f t="shared" si="0"/>
        <v>0</v>
      </c>
      <c r="K12" s="341">
        <f t="shared" si="0"/>
        <v>0</v>
      </c>
      <c r="L12" s="341">
        <f t="shared" si="0"/>
        <v>0</v>
      </c>
      <c r="N12" s="327" t="s">
        <v>657</v>
      </c>
      <c r="O12" s="341">
        <v>0</v>
      </c>
      <c r="P12" s="341">
        <v>0</v>
      </c>
      <c r="Q12" s="341">
        <v>0</v>
      </c>
      <c r="R12" s="341">
        <v>0</v>
      </c>
      <c r="S12" s="341">
        <v>0</v>
      </c>
    </row>
    <row r="13" spans="1:19" x14ac:dyDescent="0.2">
      <c r="A13" s="327" t="s">
        <v>658</v>
      </c>
      <c r="B13" s="341">
        <v>614.88</v>
      </c>
      <c r="C13" s="341">
        <v>0</v>
      </c>
      <c r="D13" s="341">
        <v>0</v>
      </c>
      <c r="E13" s="341">
        <v>0</v>
      </c>
      <c r="F13" s="341">
        <f t="shared" si="1"/>
        <v>0</v>
      </c>
      <c r="H13" s="341">
        <f t="shared" si="0"/>
        <v>0</v>
      </c>
      <c r="I13" s="341">
        <f t="shared" si="0"/>
        <v>0</v>
      </c>
      <c r="J13" s="341">
        <f t="shared" si="0"/>
        <v>0</v>
      </c>
      <c r="K13" s="341">
        <f t="shared" si="0"/>
        <v>0</v>
      </c>
      <c r="L13" s="341">
        <f t="shared" si="0"/>
        <v>0</v>
      </c>
      <c r="N13" s="327" t="s">
        <v>658</v>
      </c>
      <c r="O13" s="341">
        <v>614.88</v>
      </c>
      <c r="P13" s="341">
        <v>0</v>
      </c>
      <c r="Q13" s="341">
        <v>0</v>
      </c>
      <c r="R13" s="341">
        <v>0</v>
      </c>
      <c r="S13" s="341">
        <v>0</v>
      </c>
    </row>
    <row r="14" spans="1:19" x14ac:dyDescent="0.2">
      <c r="A14" s="24" t="s">
        <v>256</v>
      </c>
      <c r="B14" s="341">
        <v>75738.679999999993</v>
      </c>
      <c r="C14" s="341">
        <v>57519.74</v>
      </c>
      <c r="D14" s="341">
        <v>57685.23</v>
      </c>
      <c r="E14" s="341">
        <v>51132</v>
      </c>
      <c r="F14" s="341">
        <f t="shared" si="1"/>
        <v>52665.96</v>
      </c>
      <c r="H14" s="341">
        <f t="shared" si="0"/>
        <v>0</v>
      </c>
      <c r="I14" s="341">
        <f t="shared" si="0"/>
        <v>0</v>
      </c>
      <c r="J14" s="341">
        <f t="shared" si="0"/>
        <v>0</v>
      </c>
      <c r="K14" s="341">
        <f t="shared" si="0"/>
        <v>0</v>
      </c>
      <c r="L14" s="341">
        <f t="shared" si="0"/>
        <v>0</v>
      </c>
      <c r="N14" s="24" t="s">
        <v>659</v>
      </c>
      <c r="O14" s="341">
        <v>75738.679999999993</v>
      </c>
      <c r="P14" s="341">
        <v>57519.74</v>
      </c>
      <c r="Q14" s="341">
        <v>57685.23</v>
      </c>
      <c r="R14" s="341">
        <v>51132</v>
      </c>
      <c r="S14" s="341">
        <v>52665.96</v>
      </c>
    </row>
    <row r="15" spans="1:19" x14ac:dyDescent="0.2">
      <c r="A15" s="327" t="s">
        <v>660</v>
      </c>
      <c r="B15" s="341">
        <v>37125</v>
      </c>
      <c r="C15" s="341">
        <v>54202.5</v>
      </c>
      <c r="D15" s="341">
        <v>56901.25</v>
      </c>
      <c r="E15" s="341">
        <v>50436</v>
      </c>
      <c r="F15" s="341">
        <f t="shared" si="1"/>
        <v>51949.08</v>
      </c>
      <c r="H15" s="341">
        <f t="shared" si="0"/>
        <v>0</v>
      </c>
      <c r="I15" s="341">
        <f t="shared" si="0"/>
        <v>0</v>
      </c>
      <c r="J15" s="341">
        <f t="shared" si="0"/>
        <v>0</v>
      </c>
      <c r="K15" s="341">
        <f t="shared" si="0"/>
        <v>0</v>
      </c>
      <c r="L15" s="341">
        <f t="shared" si="0"/>
        <v>0</v>
      </c>
      <c r="N15" s="327" t="s">
        <v>660</v>
      </c>
      <c r="O15" s="341">
        <v>37125</v>
      </c>
      <c r="P15" s="341">
        <v>54202.5</v>
      </c>
      <c r="Q15" s="341">
        <v>56901.25</v>
      </c>
      <c r="R15" s="341">
        <v>50436</v>
      </c>
      <c r="S15" s="341">
        <v>51949.08</v>
      </c>
    </row>
    <row r="16" spans="1:19" x14ac:dyDescent="0.2">
      <c r="A16" s="327" t="s">
        <v>661</v>
      </c>
      <c r="B16" s="1054">
        <v>355405.23</v>
      </c>
      <c r="C16" s="1054">
        <v>297889.59999999998</v>
      </c>
      <c r="D16" s="1054">
        <v>148800</v>
      </c>
      <c r="E16" s="341">
        <v>131892</v>
      </c>
      <c r="F16" s="341">
        <f t="shared" si="1"/>
        <v>135848.76</v>
      </c>
      <c r="H16" s="1054">
        <f t="shared" si="0"/>
        <v>0</v>
      </c>
      <c r="I16" s="1054">
        <f t="shared" si="0"/>
        <v>0</v>
      </c>
      <c r="J16" s="1054">
        <f t="shared" si="0"/>
        <v>0</v>
      </c>
      <c r="K16" s="341">
        <f t="shared" si="0"/>
        <v>0</v>
      </c>
      <c r="L16" s="341">
        <f t="shared" si="0"/>
        <v>0</v>
      </c>
      <c r="N16" s="327" t="s">
        <v>319</v>
      </c>
      <c r="O16" s="1054">
        <v>355405.23</v>
      </c>
      <c r="P16" s="1054">
        <v>297889.59999999998</v>
      </c>
      <c r="Q16" s="1054">
        <v>148800</v>
      </c>
      <c r="R16" s="341">
        <v>131892</v>
      </c>
      <c r="S16" s="341">
        <v>135848.76</v>
      </c>
    </row>
    <row r="17" spans="1:19" x14ac:dyDescent="0.2">
      <c r="A17" s="327" t="s">
        <v>662</v>
      </c>
      <c r="B17" s="341">
        <v>44907.61</v>
      </c>
      <c r="C17" s="341">
        <v>1072.8800000000001</v>
      </c>
      <c r="D17" s="341">
        <v>2834.7499999999995</v>
      </c>
      <c r="E17" s="341">
        <v>2508</v>
      </c>
      <c r="F17" s="341">
        <f t="shared" si="1"/>
        <v>2583.2400000000002</v>
      </c>
      <c r="H17" s="341">
        <f t="shared" si="0"/>
        <v>0</v>
      </c>
      <c r="I17" s="341">
        <f t="shared" si="0"/>
        <v>0</v>
      </c>
      <c r="J17" s="341">
        <f t="shared" si="0"/>
        <v>0</v>
      </c>
      <c r="K17" s="341">
        <f t="shared" si="0"/>
        <v>0</v>
      </c>
      <c r="L17" s="341">
        <f t="shared" si="0"/>
        <v>0</v>
      </c>
      <c r="N17" s="327" t="s">
        <v>662</v>
      </c>
      <c r="O17" s="341">
        <v>44907.61</v>
      </c>
      <c r="P17" s="341">
        <v>1072.8800000000001</v>
      </c>
      <c r="Q17" s="341">
        <v>2834.7499999999995</v>
      </c>
      <c r="R17" s="341">
        <v>2508</v>
      </c>
      <c r="S17" s="341">
        <v>2583.2400000000002</v>
      </c>
    </row>
    <row r="18" spans="1:19" ht="5.0999999999999996" customHeight="1" x14ac:dyDescent="0.2">
      <c r="A18" s="673"/>
      <c r="B18" s="1079"/>
      <c r="C18" s="1079"/>
      <c r="D18" s="1079"/>
      <c r="E18" s="1079"/>
      <c r="F18" s="1079"/>
      <c r="H18" s="1079"/>
      <c r="I18" s="1079"/>
      <c r="J18" s="1079"/>
      <c r="K18" s="1079"/>
      <c r="L18" s="1079"/>
      <c r="N18" s="673"/>
      <c r="O18" s="1079"/>
      <c r="P18" s="1079"/>
      <c r="Q18" s="1079"/>
      <c r="R18" s="1079"/>
      <c r="S18" s="1079"/>
    </row>
    <row r="19" spans="1:19" x14ac:dyDescent="0.2">
      <c r="A19" s="426" t="s">
        <v>663</v>
      </c>
      <c r="B19" s="1304">
        <f t="shared" ref="B19:F19" si="2">SUM(B9:B18)</f>
        <v>634477.39</v>
      </c>
      <c r="C19" s="1304">
        <f t="shared" si="2"/>
        <v>572341.57999999996</v>
      </c>
      <c r="D19" s="1304">
        <f t="shared" si="2"/>
        <v>318509.75</v>
      </c>
      <c r="E19" s="1304">
        <f>SUM(E9:E18)</f>
        <v>323313</v>
      </c>
      <c r="F19" s="1304">
        <f t="shared" si="2"/>
        <v>333012.39</v>
      </c>
      <c r="H19" s="1304">
        <f>IFERROR(B19-O19,"")</f>
        <v>0</v>
      </c>
      <c r="I19" s="1304">
        <f>IFERROR(C19-P19,"")</f>
        <v>0</v>
      </c>
      <c r="J19" s="1304">
        <f>IFERROR(D19-Q19,"")</f>
        <v>0</v>
      </c>
      <c r="K19" s="1304">
        <f>IFERROR(E19-R19,"")</f>
        <v>41001</v>
      </c>
      <c r="L19" s="1304">
        <f>IFERROR(F19-S19,"")</f>
        <v>42231.030000000028</v>
      </c>
      <c r="N19" s="426" t="s">
        <v>663</v>
      </c>
      <c r="O19" s="1304">
        <v>634477.39</v>
      </c>
      <c r="P19" s="1304">
        <v>572341.57999999996</v>
      </c>
      <c r="Q19" s="1304">
        <v>318509.75</v>
      </c>
      <c r="R19" s="1304">
        <v>282312</v>
      </c>
      <c r="S19" s="1304">
        <v>290781.36</v>
      </c>
    </row>
  </sheetData>
  <mergeCells count="4">
    <mergeCell ref="H4:L5"/>
    <mergeCell ref="N4:S5"/>
    <mergeCell ref="H6:J6"/>
    <mergeCell ref="O6:Q6"/>
  </mergeCells>
  <pageMargins left="1" right="0.75" top="0.75" bottom="0.5" header="0.5" footer="0.5"/>
  <pageSetup orientation="landscape" r:id="rId1"/>
  <headerFooter>
    <oddFooter>&amp;L&amp;KFF0000Final Rate Application&amp;CPage &amp;P of &amp;N&amp;R02/10/2017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</sheetPr>
  <dimension ref="A1:S100"/>
  <sheetViews>
    <sheetView showOutlineSymbols="0" zoomScaleNormal="100" workbookViewId="0"/>
  </sheetViews>
  <sheetFormatPr defaultRowHeight="12.75" x14ac:dyDescent="0.2"/>
  <cols>
    <col min="1" max="1" width="44.140625" style="12" customWidth="1"/>
    <col min="2" max="4" width="20.85546875" style="12" customWidth="1"/>
    <col min="5" max="6" width="21" style="12" customWidth="1"/>
    <col min="7" max="7" width="2.7109375" style="12" customWidth="1"/>
    <col min="8" max="10" width="12.140625" style="12" customWidth="1"/>
    <col min="11" max="11" width="14.42578125" style="12" customWidth="1"/>
    <col min="12" max="12" width="17.7109375" style="12" bestFit="1" customWidth="1"/>
    <col min="13" max="13" width="2.7109375" style="12" customWidth="1"/>
    <col min="14" max="14" width="36.140625" style="12" bestFit="1" customWidth="1"/>
    <col min="15" max="17" width="12.7109375" style="12" customWidth="1"/>
    <col min="18" max="18" width="15" style="12" customWidth="1"/>
    <col min="19" max="19" width="17.7109375" style="12" bestFit="1" customWidth="1"/>
    <col min="20" max="16384" width="9.140625" style="12"/>
  </cols>
  <sheetData>
    <row r="1" spans="1:19" x14ac:dyDescent="0.2">
      <c r="A1" s="112" t="s">
        <v>0</v>
      </c>
      <c r="H1" s="121"/>
      <c r="I1" s="121"/>
      <c r="J1" s="121"/>
      <c r="K1" s="121"/>
      <c r="L1" s="1132"/>
      <c r="M1" s="121"/>
      <c r="N1" s="121"/>
      <c r="O1" s="121"/>
      <c r="P1" s="121"/>
      <c r="Q1" s="121"/>
      <c r="R1" s="121"/>
      <c r="S1" s="1132"/>
    </row>
    <row r="2" spans="1:19" x14ac:dyDescent="0.2">
      <c r="A2" s="1117" t="s">
        <v>664</v>
      </c>
      <c r="B2" s="1305"/>
      <c r="C2" s="1305"/>
      <c r="D2" s="1305"/>
      <c r="H2" s="121"/>
      <c r="I2" s="121"/>
      <c r="J2" s="121"/>
      <c r="K2" s="121" t="s">
        <v>97</v>
      </c>
      <c r="L2" s="1134">
        <v>0.03</v>
      </c>
      <c r="M2" s="121"/>
      <c r="N2" s="121"/>
      <c r="O2" s="121"/>
      <c r="P2" s="121"/>
      <c r="Q2" s="121"/>
      <c r="R2" s="121" t="s">
        <v>97</v>
      </c>
      <c r="S2" s="1134">
        <v>0.03</v>
      </c>
    </row>
    <row r="3" spans="1:19" ht="12.75" customHeight="1" x14ac:dyDescent="0.2">
      <c r="A3" s="1131" t="s">
        <v>58</v>
      </c>
      <c r="B3" s="1306"/>
      <c r="C3" s="1307"/>
      <c r="D3" s="1307"/>
      <c r="F3" s="116"/>
      <c r="H3" s="1522" t="s">
        <v>74</v>
      </c>
      <c r="I3" s="1596"/>
      <c r="J3" s="1596"/>
      <c r="K3" s="1596"/>
      <c r="L3" s="1524"/>
      <c r="M3" s="867"/>
      <c r="N3" s="1497" t="s">
        <v>75</v>
      </c>
      <c r="O3" s="1600"/>
      <c r="P3" s="1600"/>
      <c r="Q3" s="1600"/>
      <c r="R3" s="1600"/>
      <c r="S3" s="1499"/>
    </row>
    <row r="4" spans="1:19" ht="12.75" customHeight="1" x14ac:dyDescent="0.2">
      <c r="A4"/>
      <c r="E4" s="116" t="s">
        <v>97</v>
      </c>
      <c r="F4" s="994">
        <f>+D!$G$5</f>
        <v>0.03</v>
      </c>
      <c r="H4" s="1597"/>
      <c r="I4" s="1598"/>
      <c r="J4" s="1598"/>
      <c r="K4" s="1598"/>
      <c r="L4" s="1599"/>
      <c r="M4" s="867"/>
      <c r="N4" s="1595"/>
      <c r="O4" s="1601"/>
      <c r="P4" s="1601"/>
      <c r="Q4" s="1601"/>
      <c r="R4" s="1601"/>
      <c r="S4" s="1602"/>
    </row>
    <row r="5" spans="1:19" ht="16.5" customHeight="1" x14ac:dyDescent="0.25">
      <c r="B5" s="1504" t="s">
        <v>207</v>
      </c>
      <c r="C5" s="1505"/>
      <c r="D5" s="1506"/>
      <c r="E5" s="267" t="s">
        <v>208</v>
      </c>
      <c r="F5" s="19" t="s">
        <v>209</v>
      </c>
      <c r="H5" s="1585" t="s">
        <v>207</v>
      </c>
      <c r="I5" s="1586"/>
      <c r="J5" s="1587"/>
      <c r="K5" s="909" t="s">
        <v>208</v>
      </c>
      <c r="L5" s="910" t="s">
        <v>209</v>
      </c>
      <c r="N5" s="1093"/>
      <c r="O5" s="1586" t="s">
        <v>207</v>
      </c>
      <c r="P5" s="1586"/>
      <c r="Q5" s="1587"/>
      <c r="R5" s="909" t="s">
        <v>208</v>
      </c>
      <c r="S5" s="910" t="s">
        <v>209</v>
      </c>
    </row>
    <row r="6" spans="1:19" ht="16.5" customHeight="1" x14ac:dyDescent="0.25">
      <c r="A6" s="1308" t="s">
        <v>2</v>
      </c>
      <c r="B6" s="271" t="s">
        <v>102</v>
      </c>
      <c r="C6" s="271" t="s">
        <v>103</v>
      </c>
      <c r="D6" s="271" t="s">
        <v>104</v>
      </c>
      <c r="E6" s="267" t="s">
        <v>99</v>
      </c>
      <c r="F6" s="19" t="s">
        <v>69</v>
      </c>
      <c r="H6" s="912" t="s">
        <v>102</v>
      </c>
      <c r="I6" s="912" t="s">
        <v>103</v>
      </c>
      <c r="J6" s="912" t="s">
        <v>104</v>
      </c>
      <c r="K6" s="913" t="s">
        <v>99</v>
      </c>
      <c r="L6" s="914" t="s">
        <v>69</v>
      </c>
      <c r="N6" s="1309" t="s">
        <v>2</v>
      </c>
      <c r="O6" s="915" t="s">
        <v>102</v>
      </c>
      <c r="P6" s="912" t="s">
        <v>103</v>
      </c>
      <c r="Q6" s="912" t="s">
        <v>104</v>
      </c>
      <c r="R6" s="913" t="s">
        <v>99</v>
      </c>
      <c r="S6" s="914" t="s">
        <v>69</v>
      </c>
    </row>
    <row r="7" spans="1:19" ht="5.0999999999999996" customHeight="1" x14ac:dyDescent="0.2">
      <c r="A7" s="1310"/>
      <c r="B7" s="1311"/>
      <c r="C7" s="1311"/>
      <c r="D7" s="1311"/>
      <c r="E7" s="1311"/>
      <c r="F7" s="1311"/>
      <c r="H7" s="1311"/>
      <c r="I7" s="1311"/>
      <c r="J7" s="1311"/>
      <c r="K7" s="1311"/>
      <c r="L7" s="1311"/>
      <c r="N7" s="1310"/>
      <c r="O7" s="1311"/>
      <c r="P7" s="1311"/>
      <c r="Q7" s="1311"/>
      <c r="R7" s="1311"/>
      <c r="S7" s="1311"/>
    </row>
    <row r="8" spans="1:19" ht="15" customHeight="1" x14ac:dyDescent="0.2">
      <c r="A8" s="1312" t="s">
        <v>665</v>
      </c>
      <c r="B8" s="1313"/>
      <c r="C8" s="1313"/>
      <c r="D8" s="1313"/>
      <c r="E8" s="1313"/>
      <c r="F8" s="1313"/>
      <c r="G8" s="407"/>
      <c r="H8" s="1313"/>
      <c r="I8" s="1313"/>
      <c r="J8" s="1313"/>
      <c r="K8" s="1313"/>
      <c r="L8" s="1313"/>
      <c r="N8" s="1312" t="s">
        <v>665</v>
      </c>
      <c r="O8" s="1313"/>
      <c r="P8" s="1313"/>
      <c r="Q8" s="1313"/>
      <c r="R8" s="1313"/>
      <c r="S8" s="1313"/>
    </row>
    <row r="9" spans="1:19" ht="5.0999999999999996" customHeight="1" x14ac:dyDescent="0.2">
      <c r="A9" s="1314"/>
      <c r="B9" s="1315"/>
      <c r="C9" s="1315"/>
      <c r="D9" s="1315"/>
      <c r="E9" s="1315"/>
      <c r="F9" s="1315"/>
      <c r="G9" s="407"/>
      <c r="H9" s="1315"/>
      <c r="I9" s="1315"/>
      <c r="J9" s="1315"/>
      <c r="K9" s="1315"/>
      <c r="L9" s="1315"/>
      <c r="N9" s="1314"/>
      <c r="O9" s="1315"/>
      <c r="P9" s="1315"/>
      <c r="Q9" s="1315"/>
      <c r="R9" s="1315"/>
      <c r="S9" s="1315"/>
    </row>
    <row r="10" spans="1:19" ht="12.75" customHeight="1" x14ac:dyDescent="0.2">
      <c r="A10" s="1316" t="s">
        <v>666</v>
      </c>
      <c r="B10" s="800">
        <v>3269606</v>
      </c>
      <c r="C10" s="800">
        <v>2975324</v>
      </c>
      <c r="D10" s="800">
        <v>2975027</v>
      </c>
      <c r="E10" s="800">
        <f t="shared" ref="E10:E19" si="0">+D10</f>
        <v>2975027</v>
      </c>
      <c r="F10" s="800">
        <f>E10</f>
        <v>2975027</v>
      </c>
      <c r="H10" s="800">
        <f t="shared" ref="H10:H19" si="1">IFERROR(B10-O10,"")</f>
        <v>0</v>
      </c>
      <c r="I10" s="800">
        <f t="shared" ref="I10:I19" si="2">IFERROR(C10-P10,"")</f>
        <v>0</v>
      </c>
      <c r="J10" s="800">
        <f t="shared" ref="J10:J19" si="3">IFERROR(D10-Q10,"")</f>
        <v>0</v>
      </c>
      <c r="K10" s="800">
        <f t="shared" ref="K10:K19" si="4">IFERROR(E10-R10,"")</f>
        <v>0</v>
      </c>
      <c r="L10" s="800">
        <f t="shared" ref="L10:L19" si="5">IFERROR(F10-S10,"")</f>
        <v>0</v>
      </c>
      <c r="N10" s="1316" t="s">
        <v>410</v>
      </c>
      <c r="O10" s="800">
        <v>3269606</v>
      </c>
      <c r="P10" s="800">
        <v>2975324</v>
      </c>
      <c r="Q10" s="800">
        <v>2975027</v>
      </c>
      <c r="R10" s="800">
        <v>2975027</v>
      </c>
      <c r="S10" s="800">
        <v>2975027</v>
      </c>
    </row>
    <row r="11" spans="1:19" ht="12.75" customHeight="1" x14ac:dyDescent="0.2">
      <c r="A11" s="1317" t="s">
        <v>667</v>
      </c>
      <c r="B11" s="800">
        <v>1064058</v>
      </c>
      <c r="C11" s="800">
        <v>1142370</v>
      </c>
      <c r="D11" s="800">
        <v>922434</v>
      </c>
      <c r="E11" s="800">
        <f t="shared" si="0"/>
        <v>922434</v>
      </c>
      <c r="F11" s="800">
        <f>E11</f>
        <v>922434</v>
      </c>
      <c r="H11" s="800">
        <f t="shared" si="1"/>
        <v>0</v>
      </c>
      <c r="I11" s="800">
        <f t="shared" si="2"/>
        <v>0</v>
      </c>
      <c r="J11" s="800">
        <f t="shared" si="3"/>
        <v>0</v>
      </c>
      <c r="K11" s="800">
        <f t="shared" si="4"/>
        <v>0</v>
      </c>
      <c r="L11" s="800">
        <f t="shared" si="5"/>
        <v>0</v>
      </c>
      <c r="N11" s="1316" t="s">
        <v>180</v>
      </c>
      <c r="O11" s="800">
        <v>1064058</v>
      </c>
      <c r="P11" s="800">
        <v>1142370</v>
      </c>
      <c r="Q11" s="800">
        <v>922434</v>
      </c>
      <c r="R11" s="800">
        <v>922434</v>
      </c>
      <c r="S11" s="800">
        <v>922434</v>
      </c>
    </row>
    <row r="12" spans="1:19" ht="12.75" customHeight="1" x14ac:dyDescent="0.2">
      <c r="A12" s="1316" t="s">
        <v>319</v>
      </c>
      <c r="B12" s="800">
        <v>769802</v>
      </c>
      <c r="C12" s="800">
        <v>875084</v>
      </c>
      <c r="D12" s="800">
        <v>857117</v>
      </c>
      <c r="E12" s="800">
        <f t="shared" si="0"/>
        <v>857117</v>
      </c>
      <c r="F12" s="800">
        <f t="shared" ref="F12:F17" si="6">E12</f>
        <v>857117</v>
      </c>
      <c r="H12" s="800">
        <f t="shared" si="1"/>
        <v>0</v>
      </c>
      <c r="I12" s="800">
        <f t="shared" si="2"/>
        <v>0</v>
      </c>
      <c r="J12" s="800">
        <f t="shared" si="3"/>
        <v>0</v>
      </c>
      <c r="K12" s="800">
        <f t="shared" si="4"/>
        <v>0</v>
      </c>
      <c r="L12" s="800">
        <f t="shared" si="5"/>
        <v>0</v>
      </c>
      <c r="N12" s="1316" t="s">
        <v>319</v>
      </c>
      <c r="O12" s="800">
        <v>769802</v>
      </c>
      <c r="P12" s="800">
        <v>875084</v>
      </c>
      <c r="Q12" s="800">
        <v>857117</v>
      </c>
      <c r="R12" s="800">
        <v>857117</v>
      </c>
      <c r="S12" s="800">
        <v>857117</v>
      </c>
    </row>
    <row r="13" spans="1:19" ht="12.75" customHeight="1" x14ac:dyDescent="0.2">
      <c r="A13" s="1316" t="s">
        <v>526</v>
      </c>
      <c r="B13" s="800">
        <v>405440</v>
      </c>
      <c r="C13" s="800">
        <v>390880</v>
      </c>
      <c r="D13" s="800">
        <v>438560</v>
      </c>
      <c r="E13" s="800">
        <f t="shared" si="0"/>
        <v>438560</v>
      </c>
      <c r="F13" s="800">
        <f t="shared" si="6"/>
        <v>438560</v>
      </c>
      <c r="H13" s="800">
        <f t="shared" si="1"/>
        <v>0</v>
      </c>
      <c r="I13" s="800">
        <f t="shared" si="2"/>
        <v>0</v>
      </c>
      <c r="J13" s="800">
        <f t="shared" si="3"/>
        <v>0</v>
      </c>
      <c r="K13" s="800">
        <f t="shared" si="4"/>
        <v>0</v>
      </c>
      <c r="L13" s="800">
        <f t="shared" si="5"/>
        <v>0</v>
      </c>
      <c r="N13" s="1316" t="s">
        <v>405</v>
      </c>
      <c r="O13" s="800">
        <v>405440</v>
      </c>
      <c r="P13" s="800">
        <v>390880</v>
      </c>
      <c r="Q13" s="800">
        <v>438560</v>
      </c>
      <c r="R13" s="800">
        <v>438560</v>
      </c>
      <c r="S13" s="800">
        <v>438560</v>
      </c>
    </row>
    <row r="14" spans="1:19" ht="12.75" customHeight="1" x14ac:dyDescent="0.2">
      <c r="A14" s="1316" t="s">
        <v>668</v>
      </c>
      <c r="B14" s="800">
        <v>156703</v>
      </c>
      <c r="C14" s="800">
        <v>159305</v>
      </c>
      <c r="D14" s="800">
        <v>167218</v>
      </c>
      <c r="E14" s="800">
        <f t="shared" si="0"/>
        <v>167218</v>
      </c>
      <c r="F14" s="800">
        <f t="shared" si="6"/>
        <v>167218</v>
      </c>
      <c r="H14" s="800">
        <f t="shared" si="1"/>
        <v>0</v>
      </c>
      <c r="I14" s="800">
        <f t="shared" si="2"/>
        <v>0</v>
      </c>
      <c r="J14" s="800">
        <f t="shared" si="3"/>
        <v>0</v>
      </c>
      <c r="K14" s="800">
        <f t="shared" si="4"/>
        <v>0</v>
      </c>
      <c r="L14" s="800">
        <f t="shared" si="5"/>
        <v>0</v>
      </c>
      <c r="N14" s="1316" t="s">
        <v>668</v>
      </c>
      <c r="O14" s="800">
        <v>156703</v>
      </c>
      <c r="P14" s="800">
        <v>159305</v>
      </c>
      <c r="Q14" s="800">
        <v>167218</v>
      </c>
      <c r="R14" s="800">
        <v>167218</v>
      </c>
      <c r="S14" s="800">
        <v>167218</v>
      </c>
    </row>
    <row r="15" spans="1:19" ht="12.75" customHeight="1" x14ac:dyDescent="0.2">
      <c r="A15" s="1316" t="s">
        <v>532</v>
      </c>
      <c r="B15" s="800">
        <v>222484</v>
      </c>
      <c r="C15" s="800">
        <v>182743</v>
      </c>
      <c r="D15" s="800">
        <v>211852</v>
      </c>
      <c r="E15" s="800">
        <f t="shared" si="0"/>
        <v>211852</v>
      </c>
      <c r="F15" s="800">
        <f t="shared" si="6"/>
        <v>211852</v>
      </c>
      <c r="H15" s="800">
        <f t="shared" si="1"/>
        <v>0</v>
      </c>
      <c r="I15" s="800">
        <f t="shared" si="2"/>
        <v>0</v>
      </c>
      <c r="J15" s="800">
        <f t="shared" si="3"/>
        <v>0</v>
      </c>
      <c r="K15" s="800">
        <f t="shared" si="4"/>
        <v>0</v>
      </c>
      <c r="L15" s="800">
        <f t="shared" si="5"/>
        <v>0</v>
      </c>
      <c r="N15" s="1316" t="s">
        <v>532</v>
      </c>
      <c r="O15" s="800">
        <v>222484</v>
      </c>
      <c r="P15" s="800">
        <v>182743</v>
      </c>
      <c r="Q15" s="800">
        <v>211852</v>
      </c>
      <c r="R15" s="800">
        <v>211852</v>
      </c>
      <c r="S15" s="800">
        <v>211852</v>
      </c>
    </row>
    <row r="16" spans="1:19" ht="12.75" customHeight="1" x14ac:dyDescent="0.2">
      <c r="A16" s="1316" t="s">
        <v>317</v>
      </c>
      <c r="B16" s="800">
        <v>55115</v>
      </c>
      <c r="C16" s="800">
        <v>51852</v>
      </c>
      <c r="D16" s="800">
        <v>52661</v>
      </c>
      <c r="E16" s="800">
        <f t="shared" si="0"/>
        <v>52661</v>
      </c>
      <c r="F16" s="800">
        <f t="shared" si="6"/>
        <v>52661</v>
      </c>
      <c r="H16" s="800">
        <f t="shared" si="1"/>
        <v>0</v>
      </c>
      <c r="I16" s="800">
        <f t="shared" si="2"/>
        <v>0</v>
      </c>
      <c r="J16" s="800">
        <f t="shared" si="3"/>
        <v>0</v>
      </c>
      <c r="K16" s="800">
        <f t="shared" si="4"/>
        <v>0</v>
      </c>
      <c r="L16" s="800">
        <f t="shared" si="5"/>
        <v>0</v>
      </c>
      <c r="N16" s="1316" t="s">
        <v>317</v>
      </c>
      <c r="O16" s="800">
        <v>55115</v>
      </c>
      <c r="P16" s="800">
        <v>51852</v>
      </c>
      <c r="Q16" s="800">
        <v>52661</v>
      </c>
      <c r="R16" s="800">
        <v>52661</v>
      </c>
      <c r="S16" s="800">
        <v>52661</v>
      </c>
    </row>
    <row r="17" spans="1:19" ht="12.75" customHeight="1" x14ac:dyDescent="0.2">
      <c r="A17" s="1316" t="s">
        <v>523</v>
      </c>
      <c r="B17" s="800">
        <v>43457</v>
      </c>
      <c r="C17" s="800">
        <v>48410</v>
      </c>
      <c r="D17" s="800">
        <v>56000</v>
      </c>
      <c r="E17" s="800">
        <f t="shared" si="0"/>
        <v>56000</v>
      </c>
      <c r="F17" s="800">
        <f t="shared" si="6"/>
        <v>56000</v>
      </c>
      <c r="H17" s="800">
        <f t="shared" si="1"/>
        <v>0</v>
      </c>
      <c r="I17" s="800">
        <f t="shared" si="2"/>
        <v>0</v>
      </c>
      <c r="J17" s="800">
        <f t="shared" si="3"/>
        <v>0</v>
      </c>
      <c r="K17" s="800">
        <f t="shared" si="4"/>
        <v>0</v>
      </c>
      <c r="L17" s="800">
        <f t="shared" si="5"/>
        <v>0</v>
      </c>
      <c r="N17" s="1316" t="s">
        <v>523</v>
      </c>
      <c r="O17" s="800">
        <v>43457</v>
      </c>
      <c r="P17" s="800">
        <v>48410</v>
      </c>
      <c r="Q17" s="800">
        <v>56000</v>
      </c>
      <c r="R17" s="800">
        <v>56000</v>
      </c>
      <c r="S17" s="800">
        <v>56000</v>
      </c>
    </row>
    <row r="18" spans="1:19" ht="12.75" customHeight="1" x14ac:dyDescent="0.2">
      <c r="A18" s="1316" t="s">
        <v>669</v>
      </c>
      <c r="B18" s="800">
        <v>0</v>
      </c>
      <c r="C18" s="800">
        <v>0</v>
      </c>
      <c r="D18" s="800">
        <v>0</v>
      </c>
      <c r="E18" s="800">
        <f t="shared" si="0"/>
        <v>0</v>
      </c>
      <c r="F18" s="800">
        <f>7572*260</f>
        <v>1968720</v>
      </c>
      <c r="H18" s="800">
        <f t="shared" si="1"/>
        <v>0</v>
      </c>
      <c r="I18" s="800">
        <f t="shared" si="2"/>
        <v>0</v>
      </c>
      <c r="J18" s="800">
        <f t="shared" si="3"/>
        <v>0</v>
      </c>
      <c r="K18" s="800">
        <f t="shared" si="4"/>
        <v>0</v>
      </c>
      <c r="L18" s="800">
        <f t="shared" si="5"/>
        <v>0</v>
      </c>
      <c r="N18" s="1316" t="s">
        <v>669</v>
      </c>
      <c r="O18" s="800">
        <v>0</v>
      </c>
      <c r="P18" s="800">
        <v>0</v>
      </c>
      <c r="Q18" s="800">
        <v>0</v>
      </c>
      <c r="R18" s="800">
        <v>0</v>
      </c>
      <c r="S18" s="800">
        <v>1968720</v>
      </c>
    </row>
    <row r="19" spans="1:19" ht="12.75" customHeight="1" x14ac:dyDescent="0.2">
      <c r="A19" s="1316" t="s">
        <v>670</v>
      </c>
      <c r="B19" s="800">
        <v>8242</v>
      </c>
      <c r="C19" s="800">
        <v>7553</v>
      </c>
      <c r="D19" s="800">
        <v>8585</v>
      </c>
      <c r="E19" s="800">
        <f t="shared" si="0"/>
        <v>8585</v>
      </c>
      <c r="F19" s="800">
        <f>E19</f>
        <v>8585</v>
      </c>
      <c r="H19" s="800">
        <f t="shared" si="1"/>
        <v>0</v>
      </c>
      <c r="I19" s="800">
        <f t="shared" si="2"/>
        <v>0</v>
      </c>
      <c r="J19" s="800">
        <f t="shared" si="3"/>
        <v>0</v>
      </c>
      <c r="K19" s="800">
        <f t="shared" si="4"/>
        <v>0</v>
      </c>
      <c r="L19" s="800">
        <f t="shared" si="5"/>
        <v>0</v>
      </c>
      <c r="N19" s="1316" t="s">
        <v>670</v>
      </c>
      <c r="O19" s="800">
        <v>8242</v>
      </c>
      <c r="P19" s="800">
        <v>7553</v>
      </c>
      <c r="Q19" s="800">
        <v>8585</v>
      </c>
      <c r="R19" s="800">
        <v>8585</v>
      </c>
      <c r="S19" s="800">
        <v>8585</v>
      </c>
    </row>
    <row r="20" spans="1:19" ht="5.0999999999999996" customHeight="1" x14ac:dyDescent="0.2">
      <c r="A20" s="1318"/>
      <c r="B20" s="1319"/>
      <c r="C20" s="1319"/>
      <c r="D20" s="1319"/>
      <c r="E20" s="1319"/>
      <c r="F20" s="1319"/>
      <c r="H20" s="1319"/>
      <c r="I20" s="1319"/>
      <c r="J20" s="1319"/>
      <c r="K20" s="1319"/>
      <c r="L20" s="1319"/>
      <c r="N20" s="1318"/>
      <c r="O20" s="1319"/>
      <c r="P20" s="1319"/>
      <c r="Q20" s="1319"/>
      <c r="R20" s="1319"/>
      <c r="S20" s="1319"/>
    </row>
    <row r="21" spans="1:19" ht="12.75" customHeight="1" x14ac:dyDescent="0.2">
      <c r="A21" s="1320" t="s">
        <v>671</v>
      </c>
      <c r="B21" s="1209">
        <f t="shared" ref="B21:F21" si="7">SUM(B10:B19)</f>
        <v>5994907</v>
      </c>
      <c r="C21" s="1209">
        <f t="shared" si="7"/>
        <v>5833521</v>
      </c>
      <c r="D21" s="1209">
        <f t="shared" si="7"/>
        <v>5689454</v>
      </c>
      <c r="E21" s="1209">
        <f t="shared" si="7"/>
        <v>5689454</v>
      </c>
      <c r="F21" s="1209">
        <f t="shared" si="7"/>
        <v>7658174</v>
      </c>
      <c r="H21" s="1209">
        <f>IFERROR(B21-O21,"")</f>
        <v>0</v>
      </c>
      <c r="I21" s="1209">
        <f>IFERROR(C21-P21,"")</f>
        <v>0</v>
      </c>
      <c r="J21" s="1209">
        <f>IFERROR(D21-Q21,"")</f>
        <v>0</v>
      </c>
      <c r="K21" s="1209">
        <f>IFERROR(E21-R21,"")</f>
        <v>0</v>
      </c>
      <c r="L21" s="1209">
        <f>IFERROR(F21-S21,"")</f>
        <v>0</v>
      </c>
      <c r="N21" s="1320" t="s">
        <v>671</v>
      </c>
      <c r="O21" s="1209">
        <v>5994907</v>
      </c>
      <c r="P21" s="1209">
        <v>5833521</v>
      </c>
      <c r="Q21" s="1209">
        <v>5689454</v>
      </c>
      <c r="R21" s="1209">
        <v>5689454</v>
      </c>
      <c r="S21" s="1209">
        <v>7658174</v>
      </c>
    </row>
    <row r="22" spans="1:19" ht="5.0999999999999996" customHeight="1" x14ac:dyDescent="0.2">
      <c r="A22" s="1321"/>
      <c r="B22" s="1322"/>
      <c r="C22" s="1322"/>
      <c r="D22" s="1322"/>
      <c r="E22" s="1323"/>
      <c r="F22" s="1323"/>
      <c r="H22" s="1322"/>
      <c r="I22" s="1322"/>
      <c r="J22" s="1322"/>
      <c r="K22" s="1323"/>
      <c r="L22" s="1323"/>
      <c r="N22" s="1321"/>
      <c r="O22" s="1322"/>
      <c r="P22" s="1322"/>
      <c r="Q22" s="1322"/>
      <c r="R22" s="1323"/>
      <c r="S22" s="1323"/>
    </row>
    <row r="23" spans="1:19" ht="12.75" customHeight="1" x14ac:dyDescent="0.2">
      <c r="A23" s="1324" t="s">
        <v>672</v>
      </c>
      <c r="B23" s="1325"/>
      <c r="C23" s="1325"/>
      <c r="D23" s="1325"/>
      <c r="E23" s="1326"/>
      <c r="F23" s="1326"/>
      <c r="H23" s="1325"/>
      <c r="I23" s="1325"/>
      <c r="J23" s="1325"/>
      <c r="K23" s="1326"/>
      <c r="L23" s="1326"/>
      <c r="N23" s="1324" t="s">
        <v>672</v>
      </c>
      <c r="O23" s="1325"/>
      <c r="P23" s="1325"/>
      <c r="Q23" s="1325"/>
      <c r="R23" s="1326"/>
      <c r="S23" s="1326"/>
    </row>
    <row r="24" spans="1:19" ht="5.0999999999999996" customHeight="1" x14ac:dyDescent="0.2">
      <c r="A24" s="1320"/>
      <c r="B24" s="1326"/>
      <c r="C24" s="1326"/>
      <c r="D24" s="1326"/>
      <c r="E24" s="1326"/>
      <c r="F24" s="1326"/>
      <c r="H24" s="1326"/>
      <c r="I24" s="1326"/>
      <c r="J24" s="1326"/>
      <c r="K24" s="1326"/>
      <c r="L24" s="1326"/>
      <c r="N24" s="1320"/>
      <c r="O24" s="1326"/>
      <c r="P24" s="1326"/>
      <c r="Q24" s="1326"/>
      <c r="R24" s="1326"/>
      <c r="S24" s="1326"/>
    </row>
    <row r="25" spans="1:19" ht="12.75" customHeight="1" x14ac:dyDescent="0.2">
      <c r="A25" s="1316" t="s">
        <v>666</v>
      </c>
      <c r="B25" s="1328">
        <f t="shared" ref="B25:D32" si="8">+B38/B10</f>
        <v>0.18000736174328039</v>
      </c>
      <c r="C25" s="1328">
        <f t="shared" si="8"/>
        <v>0.20597190087533324</v>
      </c>
      <c r="D25" s="1328">
        <f t="shared" si="8"/>
        <v>0.20824950496247599</v>
      </c>
      <c r="E25" s="1328">
        <f t="shared" ref="E25:E32" si="9">E38/E10</f>
        <v>0.21809185597307185</v>
      </c>
      <c r="F25" s="1328">
        <f t="shared" ref="F25:F32" si="10">E25*(1+$F$4)</f>
        <v>0.224634611652264</v>
      </c>
      <c r="H25" s="1328">
        <f t="shared" ref="H25:H34" si="11">IFERROR(B25-O25,"")</f>
        <v>0</v>
      </c>
      <c r="I25" s="1328">
        <f t="shared" ref="I25:I34" si="12">IFERROR(C25-P25,"")</f>
        <v>0</v>
      </c>
      <c r="J25" s="1328">
        <f t="shared" ref="J25:J34" si="13">IFERROR(D25-Q25,"")</f>
        <v>0</v>
      </c>
      <c r="K25" s="1328">
        <f t="shared" ref="K25:K34" si="14">IFERROR(E25-R25,"")</f>
        <v>3.4605265767335969E-3</v>
      </c>
      <c r="L25" s="1328">
        <f t="shared" ref="L25:L34" si="15">IFERROR(F25-S25,"")</f>
        <v>3.5643423740356062E-3</v>
      </c>
      <c r="N25" s="1316" t="s">
        <v>410</v>
      </c>
      <c r="O25" s="1328">
        <v>0.18000736174328039</v>
      </c>
      <c r="P25" s="1328">
        <v>0.20597190087533324</v>
      </c>
      <c r="Q25" s="1328">
        <v>0.20824950496247599</v>
      </c>
      <c r="R25" s="1328">
        <v>0.21463132939633825</v>
      </c>
      <c r="S25" s="1328">
        <v>0.2210702692782284</v>
      </c>
    </row>
    <row r="26" spans="1:19" ht="12.75" customHeight="1" x14ac:dyDescent="0.2">
      <c r="A26" s="1317" t="s">
        <v>667</v>
      </c>
      <c r="B26" s="960">
        <f t="shared" si="8"/>
        <v>0.19170492585930465</v>
      </c>
      <c r="C26" s="960">
        <f t="shared" si="8"/>
        <v>0.22209454029780196</v>
      </c>
      <c r="D26" s="960">
        <f t="shared" si="8"/>
        <v>0.21524781176756269</v>
      </c>
      <c r="E26" s="960">
        <f t="shared" si="9"/>
        <v>0.21665443814950444</v>
      </c>
      <c r="F26" s="960">
        <f t="shared" si="10"/>
        <v>0.22315407129398959</v>
      </c>
      <c r="H26" s="960">
        <f t="shared" si="11"/>
        <v>0</v>
      </c>
      <c r="I26" s="960">
        <f t="shared" si="12"/>
        <v>0</v>
      </c>
      <c r="J26" s="960">
        <f t="shared" si="13"/>
        <v>0</v>
      </c>
      <c r="K26" s="960">
        <f t="shared" si="14"/>
        <v>-5.7051019368323519E-3</v>
      </c>
      <c r="L26" s="960">
        <f t="shared" si="15"/>
        <v>-5.8762549949373244E-3</v>
      </c>
      <c r="N26" s="1316" t="s">
        <v>180</v>
      </c>
      <c r="O26" s="960">
        <v>0.19170492585930465</v>
      </c>
      <c r="P26" s="960">
        <v>0.22209454029780196</v>
      </c>
      <c r="Q26" s="960">
        <v>0.21524781176756269</v>
      </c>
      <c r="R26" s="960">
        <v>0.22235954008633679</v>
      </c>
      <c r="S26" s="960">
        <v>0.22903032628892692</v>
      </c>
    </row>
    <row r="27" spans="1:19" ht="12.75" customHeight="1" x14ac:dyDescent="0.2">
      <c r="A27" s="1316" t="s">
        <v>319</v>
      </c>
      <c r="B27" s="960">
        <f t="shared" si="8"/>
        <v>0.13144144858028428</v>
      </c>
      <c r="C27" s="960">
        <f t="shared" si="8"/>
        <v>0.14318203738155422</v>
      </c>
      <c r="D27" s="960">
        <f t="shared" si="8"/>
        <v>0.22659419892500085</v>
      </c>
      <c r="E27" s="960">
        <f t="shared" si="9"/>
        <v>0.20604820578754127</v>
      </c>
      <c r="F27" s="960">
        <f t="shared" si="10"/>
        <v>0.2122296519611675</v>
      </c>
      <c r="H27" s="960">
        <f t="shared" si="11"/>
        <v>0</v>
      </c>
      <c r="I27" s="960">
        <f t="shared" si="12"/>
        <v>0</v>
      </c>
      <c r="J27" s="960">
        <f t="shared" si="13"/>
        <v>0</v>
      </c>
      <c r="K27" s="960">
        <f t="shared" si="14"/>
        <v>-2.976090778738491E-2</v>
      </c>
      <c r="L27" s="960">
        <f t="shared" si="15"/>
        <v>-3.0653735021006462E-2</v>
      </c>
      <c r="N27" s="1316" t="s">
        <v>319</v>
      </c>
      <c r="O27" s="960">
        <v>0.13144144858028428</v>
      </c>
      <c r="P27" s="960">
        <v>0.14318203738155422</v>
      </c>
      <c r="Q27" s="960">
        <v>0.22659419892500085</v>
      </c>
      <c r="R27" s="960">
        <v>0.23580911357492618</v>
      </c>
      <c r="S27" s="960">
        <v>0.24288338698217396</v>
      </c>
    </row>
    <row r="28" spans="1:19" ht="12.75" customHeight="1" x14ac:dyDescent="0.2">
      <c r="A28" s="1316" t="s">
        <v>526</v>
      </c>
      <c r="B28" s="960">
        <f t="shared" si="8"/>
        <v>0.18144263022888715</v>
      </c>
      <c r="C28" s="960">
        <f t="shared" si="8"/>
        <v>0.19916813344248874</v>
      </c>
      <c r="D28" s="960">
        <f t="shared" si="8"/>
        <v>0.21620175118569865</v>
      </c>
      <c r="E28" s="960">
        <f t="shared" si="9"/>
        <v>0.21115208865377599</v>
      </c>
      <c r="F28" s="960">
        <f t="shared" si="10"/>
        <v>0.21748665131338929</v>
      </c>
      <c r="H28" s="960">
        <f t="shared" si="11"/>
        <v>0</v>
      </c>
      <c r="I28" s="960">
        <f t="shared" si="12"/>
        <v>0</v>
      </c>
      <c r="J28" s="960">
        <f t="shared" si="13"/>
        <v>0</v>
      </c>
      <c r="K28" s="960">
        <f t="shared" si="14"/>
        <v>-1.2192493615468813E-2</v>
      </c>
      <c r="L28" s="960">
        <f t="shared" si="15"/>
        <v>-1.2558268423932872E-2</v>
      </c>
      <c r="N28" s="1316" t="s">
        <v>405</v>
      </c>
      <c r="O28" s="960">
        <v>0.18144263022888715</v>
      </c>
      <c r="P28" s="960">
        <v>0.19916813344248874</v>
      </c>
      <c r="Q28" s="960">
        <v>0.21620175118569865</v>
      </c>
      <c r="R28" s="960">
        <v>0.22334458226924481</v>
      </c>
      <c r="S28" s="960">
        <v>0.23004491973732216</v>
      </c>
    </row>
    <row r="29" spans="1:19" ht="12.75" customHeight="1" x14ac:dyDescent="0.2">
      <c r="A29" s="1316" t="s">
        <v>668</v>
      </c>
      <c r="B29" s="960">
        <f t="shared" si="8"/>
        <v>0.16816180928252808</v>
      </c>
      <c r="C29" s="960">
        <f t="shared" si="8"/>
        <v>0.17153868365713568</v>
      </c>
      <c r="D29" s="960">
        <f t="shared" si="8"/>
        <v>0.17785890274970398</v>
      </c>
      <c r="E29" s="960">
        <f t="shared" si="9"/>
        <v>0.18707938140630795</v>
      </c>
      <c r="F29" s="960">
        <f t="shared" si="10"/>
        <v>0.19269176284849721</v>
      </c>
      <c r="H29" s="960">
        <f t="shared" si="11"/>
        <v>0</v>
      </c>
      <c r="I29" s="960">
        <f t="shared" si="12"/>
        <v>0</v>
      </c>
      <c r="J29" s="960">
        <f t="shared" si="13"/>
        <v>0</v>
      </c>
      <c r="K29" s="960">
        <f t="shared" si="14"/>
        <v>3.343180758052372E-3</v>
      </c>
      <c r="L29" s="960">
        <f t="shared" si="15"/>
        <v>3.443476180793964E-3</v>
      </c>
      <c r="N29" s="1316" t="s">
        <v>668</v>
      </c>
      <c r="O29" s="960">
        <v>0.16816180928252808</v>
      </c>
      <c r="P29" s="960">
        <v>0.17153868365713568</v>
      </c>
      <c r="Q29" s="960">
        <v>0.17785890274970398</v>
      </c>
      <c r="R29" s="960">
        <v>0.18373620064825558</v>
      </c>
      <c r="S29" s="960">
        <v>0.18924828666770324</v>
      </c>
    </row>
    <row r="30" spans="1:19" ht="12.75" customHeight="1" x14ac:dyDescent="0.2">
      <c r="A30" s="1316" t="s">
        <v>532</v>
      </c>
      <c r="B30" s="960">
        <f t="shared" si="8"/>
        <v>7.9617950054835407E-2</v>
      </c>
      <c r="C30" s="960">
        <f t="shared" si="8"/>
        <v>7.6952933901708959E-2</v>
      </c>
      <c r="D30" s="960">
        <f t="shared" si="8"/>
        <v>7.5781300152936978E-2</v>
      </c>
      <c r="E30" s="960">
        <f t="shared" si="9"/>
        <v>3.6267913449011577E-2</v>
      </c>
      <c r="F30" s="960">
        <f t="shared" si="10"/>
        <v>3.7355950852481924E-2</v>
      </c>
      <c r="H30" s="960">
        <f t="shared" si="11"/>
        <v>0</v>
      </c>
      <c r="I30" s="960">
        <f t="shared" si="12"/>
        <v>0</v>
      </c>
      <c r="J30" s="960">
        <f t="shared" si="13"/>
        <v>0</v>
      </c>
      <c r="K30" s="960">
        <f t="shared" si="14"/>
        <v>-4.2013150690104403E-2</v>
      </c>
      <c r="L30" s="960">
        <f t="shared" si="15"/>
        <v>-4.3273545210807542E-2</v>
      </c>
      <c r="N30" s="1316" t="s">
        <v>532</v>
      </c>
      <c r="O30" s="960">
        <v>7.9617950054835407E-2</v>
      </c>
      <c r="P30" s="960">
        <v>7.6952933901708959E-2</v>
      </c>
      <c r="Q30" s="960">
        <v>7.5781300152936978E-2</v>
      </c>
      <c r="R30" s="960">
        <v>7.828106413911598E-2</v>
      </c>
      <c r="S30" s="960">
        <v>8.0629496063289466E-2</v>
      </c>
    </row>
    <row r="31" spans="1:19" ht="12.75" customHeight="1" x14ac:dyDescent="0.2">
      <c r="A31" s="1316" t="s">
        <v>317</v>
      </c>
      <c r="B31" s="960">
        <f t="shared" si="8"/>
        <v>0.20101279143608816</v>
      </c>
      <c r="C31" s="960">
        <f t="shared" si="8"/>
        <v>0.20893061019825657</v>
      </c>
      <c r="D31" s="960">
        <f t="shared" si="8"/>
        <v>0.22330605191697839</v>
      </c>
      <c r="E31" s="960">
        <f t="shared" si="9"/>
        <v>0.22447864643664192</v>
      </c>
      <c r="F31" s="960">
        <f t="shared" si="10"/>
        <v>0.23121300582974119</v>
      </c>
      <c r="H31" s="960">
        <f t="shared" si="11"/>
        <v>0</v>
      </c>
      <c r="I31" s="960">
        <f t="shared" si="12"/>
        <v>0</v>
      </c>
      <c r="J31" s="960">
        <f t="shared" si="13"/>
        <v>0</v>
      </c>
      <c r="K31" s="960">
        <f t="shared" si="14"/>
        <v>-6.2044017394276563E-3</v>
      </c>
      <c r="L31" s="960">
        <f t="shared" si="15"/>
        <v>-6.3905337916104754E-3</v>
      </c>
      <c r="N31" s="1316" t="s">
        <v>317</v>
      </c>
      <c r="O31" s="960">
        <v>0.20101279143608816</v>
      </c>
      <c r="P31" s="960">
        <v>0.20893061019825657</v>
      </c>
      <c r="Q31" s="960">
        <v>0.22330605191697839</v>
      </c>
      <c r="R31" s="960">
        <v>0.23068304817606958</v>
      </c>
      <c r="S31" s="960">
        <v>0.23760353962135167</v>
      </c>
    </row>
    <row r="32" spans="1:19" ht="12.75" customHeight="1" x14ac:dyDescent="0.2">
      <c r="A32" s="1316" t="s">
        <v>523</v>
      </c>
      <c r="B32" s="960">
        <f t="shared" si="8"/>
        <v>0.19539222679890467</v>
      </c>
      <c r="C32" s="960">
        <f t="shared" si="8"/>
        <v>0.21808324726296219</v>
      </c>
      <c r="D32" s="960">
        <f t="shared" si="8"/>
        <v>0.19634267857142859</v>
      </c>
      <c r="E32" s="960">
        <f t="shared" si="9"/>
        <v>0.19106696428571429</v>
      </c>
      <c r="F32" s="960">
        <f t="shared" si="10"/>
        <v>0.19679897321428572</v>
      </c>
      <c r="H32" s="960">
        <f t="shared" si="11"/>
        <v>0</v>
      </c>
      <c r="I32" s="960">
        <f t="shared" si="12"/>
        <v>0</v>
      </c>
      <c r="J32" s="960">
        <f t="shared" si="13"/>
        <v>0</v>
      </c>
      <c r="K32" s="960">
        <f t="shared" si="14"/>
        <v>-1.1772321428571431E-2</v>
      </c>
      <c r="L32" s="960">
        <f t="shared" si="15"/>
        <v>-1.2125491071428574E-2</v>
      </c>
      <c r="N32" s="1316" t="s">
        <v>523</v>
      </c>
      <c r="O32" s="960">
        <v>0.19539222679890467</v>
      </c>
      <c r="P32" s="960">
        <v>0.21808324726296219</v>
      </c>
      <c r="Q32" s="960">
        <v>0.19634267857142859</v>
      </c>
      <c r="R32" s="960">
        <v>0.20283928571428572</v>
      </c>
      <c r="S32" s="960">
        <v>0.20892446428571429</v>
      </c>
    </row>
    <row r="33" spans="1:19" ht="12.75" customHeight="1" x14ac:dyDescent="0.2">
      <c r="A33" s="1316" t="s">
        <v>669</v>
      </c>
      <c r="B33" s="960">
        <v>0</v>
      </c>
      <c r="C33" s="960">
        <v>0</v>
      </c>
      <c r="D33" s="960">
        <v>0</v>
      </c>
      <c r="E33" s="960">
        <v>0</v>
      </c>
      <c r="F33" s="960">
        <v>0.2</v>
      </c>
      <c r="H33" s="960">
        <f t="shared" si="11"/>
        <v>0</v>
      </c>
      <c r="I33" s="960">
        <f t="shared" si="12"/>
        <v>0</v>
      </c>
      <c r="J33" s="960">
        <f t="shared" si="13"/>
        <v>0</v>
      </c>
      <c r="K33" s="960">
        <f t="shared" si="14"/>
        <v>0</v>
      </c>
      <c r="L33" s="960">
        <f t="shared" si="15"/>
        <v>0</v>
      </c>
      <c r="N33" s="1316" t="s">
        <v>669</v>
      </c>
      <c r="O33" s="960">
        <v>0</v>
      </c>
      <c r="P33" s="960">
        <v>0</v>
      </c>
      <c r="Q33" s="960">
        <v>0</v>
      </c>
      <c r="R33" s="960">
        <v>0</v>
      </c>
      <c r="S33" s="960">
        <v>0.2</v>
      </c>
    </row>
    <row r="34" spans="1:19" ht="12.75" customHeight="1" x14ac:dyDescent="0.2">
      <c r="A34" s="1316" t="s">
        <v>670</v>
      </c>
      <c r="B34" s="960">
        <f t="shared" ref="B34:D34" si="16">+B47/B19</f>
        <v>0.15799320553263771</v>
      </c>
      <c r="C34" s="960">
        <f t="shared" si="16"/>
        <v>0.23166821130676551</v>
      </c>
      <c r="D34" s="960">
        <f t="shared" si="16"/>
        <v>0.27718811881188116</v>
      </c>
      <c r="E34" s="960">
        <f>E47/E19</f>
        <v>0.1901083284799068</v>
      </c>
      <c r="F34" s="960">
        <f>E34*(1+$F$4)</f>
        <v>0.19581157833430402</v>
      </c>
      <c r="H34" s="960">
        <f t="shared" si="11"/>
        <v>0</v>
      </c>
      <c r="I34" s="960">
        <f t="shared" si="12"/>
        <v>0</v>
      </c>
      <c r="J34" s="960">
        <f t="shared" si="13"/>
        <v>0</v>
      </c>
      <c r="K34" s="960">
        <f t="shared" si="14"/>
        <v>-9.6205008736167746E-2</v>
      </c>
      <c r="L34" s="960">
        <f t="shared" si="15"/>
        <v>-9.9091158998252771E-2</v>
      </c>
      <c r="N34" s="1316" t="s">
        <v>670</v>
      </c>
      <c r="O34" s="960">
        <v>0.15799320553263771</v>
      </c>
      <c r="P34" s="960">
        <v>0.23166821130676551</v>
      </c>
      <c r="Q34" s="960">
        <v>0.27718811881188116</v>
      </c>
      <c r="R34" s="960">
        <v>0.28631333721607455</v>
      </c>
      <c r="S34" s="960">
        <v>0.29490273733255679</v>
      </c>
    </row>
    <row r="35" spans="1:19" ht="5.0999999999999996" customHeight="1" x14ac:dyDescent="0.2">
      <c r="A35" s="1321"/>
      <c r="B35" s="1323"/>
      <c r="C35" s="1323"/>
      <c r="D35" s="1323"/>
      <c r="E35" s="1323"/>
      <c r="F35" s="1323"/>
      <c r="H35" s="1323"/>
      <c r="I35" s="1323"/>
      <c r="J35" s="1323"/>
      <c r="K35" s="1323"/>
      <c r="L35" s="1323"/>
      <c r="N35" s="1321"/>
      <c r="O35" s="1323"/>
      <c r="P35" s="1323"/>
      <c r="Q35" s="1323"/>
      <c r="R35" s="1323"/>
      <c r="S35" s="1323"/>
    </row>
    <row r="36" spans="1:19" x14ac:dyDescent="0.2">
      <c r="A36" s="1324" t="s">
        <v>673</v>
      </c>
      <c r="B36" s="1326"/>
      <c r="C36" s="1326"/>
      <c r="D36" s="1326"/>
      <c r="E36" s="1326"/>
      <c r="F36" s="1326"/>
      <c r="H36" s="1326"/>
      <c r="I36" s="1326"/>
      <c r="J36" s="1326"/>
      <c r="K36" s="1326"/>
      <c r="L36" s="1326"/>
      <c r="N36" s="1324" t="s">
        <v>673</v>
      </c>
      <c r="O36" s="1326"/>
      <c r="P36" s="1326"/>
      <c r="Q36" s="1326"/>
      <c r="R36" s="1326"/>
      <c r="S36" s="1326"/>
    </row>
    <row r="37" spans="1:19" ht="5.0999999999999996" customHeight="1" x14ac:dyDescent="0.2">
      <c r="A37" s="1320"/>
      <c r="B37" s="1326"/>
      <c r="C37" s="1326"/>
      <c r="D37" s="1326"/>
      <c r="E37" s="1326"/>
      <c r="F37" s="1326"/>
      <c r="H37" s="1326"/>
      <c r="I37" s="1326"/>
      <c r="J37" s="1326"/>
      <c r="K37" s="1326"/>
      <c r="L37" s="1326"/>
      <c r="N37" s="1320"/>
      <c r="O37" s="1326"/>
      <c r="P37" s="1326"/>
      <c r="Q37" s="1326"/>
      <c r="R37" s="1326"/>
      <c r="S37" s="1326"/>
    </row>
    <row r="38" spans="1:19" x14ac:dyDescent="0.2">
      <c r="A38" s="1316" t="s">
        <v>666</v>
      </c>
      <c r="B38" s="959">
        <v>588553.15</v>
      </c>
      <c r="C38" s="959">
        <v>612833.14</v>
      </c>
      <c r="D38" s="959">
        <v>619547.9</v>
      </c>
      <c r="E38" s="959">
        <v>648829.16</v>
      </c>
      <c r="F38" s="959">
        <f t="shared" ref="F38:F45" si="17">F10*F25</f>
        <v>668294.03480000002</v>
      </c>
      <c r="H38" s="959">
        <f t="shared" ref="H38:H47" si="18">IFERROR(B38-O38,"")</f>
        <v>0</v>
      </c>
      <c r="I38" s="959">
        <f t="shared" ref="I38:I47" si="19">IFERROR(C38-P38,"")</f>
        <v>0</v>
      </c>
      <c r="J38" s="959">
        <f t="shared" ref="J38:J47" si="20">IFERROR(D38-Q38,"")</f>
        <v>0</v>
      </c>
      <c r="K38" s="959">
        <f t="shared" ref="K38:K47" si="21">IFERROR(E38-R38,"")</f>
        <v>10295.160000000033</v>
      </c>
      <c r="L38" s="959">
        <f t="shared" ref="L38:L47" si="22">IFERROR(F38-S38,"")</f>
        <v>10604.014800000004</v>
      </c>
      <c r="N38" s="1316" t="s">
        <v>410</v>
      </c>
      <c r="O38" s="959">
        <v>588553.15</v>
      </c>
      <c r="P38" s="959">
        <v>612833.14</v>
      </c>
      <c r="Q38" s="959">
        <v>619547.9</v>
      </c>
      <c r="R38" s="959">
        <v>638534</v>
      </c>
      <c r="S38" s="959">
        <v>657690.02</v>
      </c>
    </row>
    <row r="39" spans="1:19" x14ac:dyDescent="0.2">
      <c r="A39" s="1317" t="s">
        <v>667</v>
      </c>
      <c r="B39" s="1330">
        <v>203985.16</v>
      </c>
      <c r="C39" s="1330">
        <v>253714.14</v>
      </c>
      <c r="D39" s="1330">
        <v>198551.89999999994</v>
      </c>
      <c r="E39" s="1330">
        <v>199849.41999999998</v>
      </c>
      <c r="F39" s="1330">
        <f t="shared" si="17"/>
        <v>205844.9026</v>
      </c>
      <c r="H39" s="1330">
        <f t="shared" si="18"/>
        <v>0</v>
      </c>
      <c r="I39" s="1330">
        <f t="shared" si="19"/>
        <v>0</v>
      </c>
      <c r="J39" s="1330">
        <f t="shared" si="20"/>
        <v>0</v>
      </c>
      <c r="K39" s="1330">
        <f t="shared" si="21"/>
        <v>-5262.5800000000163</v>
      </c>
      <c r="L39" s="1330">
        <f t="shared" si="22"/>
        <v>-5420.4574000000139</v>
      </c>
      <c r="N39" s="1316" t="s">
        <v>180</v>
      </c>
      <c r="O39" s="1330">
        <v>203985.16</v>
      </c>
      <c r="P39" s="1330">
        <v>253714.14</v>
      </c>
      <c r="Q39" s="1330">
        <v>198551.89999999994</v>
      </c>
      <c r="R39" s="1330">
        <v>205112</v>
      </c>
      <c r="S39" s="1330">
        <v>211265.36000000002</v>
      </c>
    </row>
    <row r="40" spans="1:19" x14ac:dyDescent="0.2">
      <c r="A40" s="1316" t="s">
        <v>319</v>
      </c>
      <c r="B40" s="1330">
        <v>101183.89</v>
      </c>
      <c r="C40" s="1330">
        <v>125296.31</v>
      </c>
      <c r="D40" s="1330">
        <v>194217.73999999996</v>
      </c>
      <c r="E40" s="1330">
        <v>176607.42</v>
      </c>
      <c r="F40" s="1330">
        <f t="shared" si="17"/>
        <v>181905.64259999999</v>
      </c>
      <c r="H40" s="1330">
        <f t="shared" si="18"/>
        <v>0</v>
      </c>
      <c r="I40" s="1330">
        <f t="shared" si="19"/>
        <v>0</v>
      </c>
      <c r="J40" s="1330">
        <f t="shared" si="20"/>
        <v>0</v>
      </c>
      <c r="K40" s="1330">
        <f t="shared" si="21"/>
        <v>-25508.579999999987</v>
      </c>
      <c r="L40" s="1330">
        <f t="shared" si="22"/>
        <v>-26273.837400000019</v>
      </c>
      <c r="N40" s="1316" t="s">
        <v>319</v>
      </c>
      <c r="O40" s="1330">
        <v>101183.89</v>
      </c>
      <c r="P40" s="1330">
        <v>125296.31</v>
      </c>
      <c r="Q40" s="1330">
        <v>194217.73999999996</v>
      </c>
      <c r="R40" s="1330">
        <v>202116</v>
      </c>
      <c r="S40" s="1330">
        <v>208179.48</v>
      </c>
    </row>
    <row r="41" spans="1:19" x14ac:dyDescent="0.2">
      <c r="A41" s="1316" t="s">
        <v>526</v>
      </c>
      <c r="B41" s="1330">
        <v>73564.100000000006</v>
      </c>
      <c r="C41" s="1330">
        <v>77850.84</v>
      </c>
      <c r="D41" s="1330">
        <v>94817.44</v>
      </c>
      <c r="E41" s="1330">
        <v>92602.86</v>
      </c>
      <c r="F41" s="1330">
        <f t="shared" si="17"/>
        <v>95380.945800000001</v>
      </c>
      <c r="H41" s="1330">
        <f t="shared" si="18"/>
        <v>0</v>
      </c>
      <c r="I41" s="1330">
        <f t="shared" si="19"/>
        <v>0</v>
      </c>
      <c r="J41" s="1330">
        <f t="shared" si="20"/>
        <v>0</v>
      </c>
      <c r="K41" s="1330">
        <f t="shared" si="21"/>
        <v>-5347.1399999999994</v>
      </c>
      <c r="L41" s="1330">
        <f t="shared" si="22"/>
        <v>-5507.5542000000132</v>
      </c>
      <c r="N41" s="1316" t="s">
        <v>405</v>
      </c>
      <c r="O41" s="1330">
        <v>73564.100000000006</v>
      </c>
      <c r="P41" s="1330">
        <v>77850.84</v>
      </c>
      <c r="Q41" s="1330">
        <v>94817.44</v>
      </c>
      <c r="R41" s="1330">
        <v>97950</v>
      </c>
      <c r="S41" s="1330">
        <v>100888.50000000001</v>
      </c>
    </row>
    <row r="42" spans="1:19" x14ac:dyDescent="0.2">
      <c r="A42" s="1316" t="s">
        <v>668</v>
      </c>
      <c r="B42" s="1330">
        <v>26351.46</v>
      </c>
      <c r="C42" s="1330">
        <v>27326.97</v>
      </c>
      <c r="D42" s="1330">
        <v>29741.21</v>
      </c>
      <c r="E42" s="1330">
        <v>31283.040000000001</v>
      </c>
      <c r="F42" s="1330">
        <f t="shared" si="17"/>
        <v>32221.531200000005</v>
      </c>
      <c r="H42" s="1330">
        <f t="shared" si="18"/>
        <v>0</v>
      </c>
      <c r="I42" s="1330">
        <f t="shared" si="19"/>
        <v>0</v>
      </c>
      <c r="J42" s="1330">
        <f t="shared" si="20"/>
        <v>0</v>
      </c>
      <c r="K42" s="1330">
        <f t="shared" si="21"/>
        <v>559.04000000000087</v>
      </c>
      <c r="L42" s="1330">
        <f t="shared" si="22"/>
        <v>575.81120000000374</v>
      </c>
      <c r="N42" s="1316" t="s">
        <v>668</v>
      </c>
      <c r="O42" s="1330">
        <v>26351.46</v>
      </c>
      <c r="P42" s="1330">
        <v>27326.97</v>
      </c>
      <c r="Q42" s="1330">
        <v>29741.21</v>
      </c>
      <c r="R42" s="1330">
        <v>30724</v>
      </c>
      <c r="S42" s="1330">
        <v>31645.72</v>
      </c>
    </row>
    <row r="43" spans="1:19" x14ac:dyDescent="0.2">
      <c r="A43" s="1316" t="s">
        <v>532</v>
      </c>
      <c r="B43" s="1330">
        <v>17713.72</v>
      </c>
      <c r="C43" s="1330">
        <v>14062.61</v>
      </c>
      <c r="D43" s="1330">
        <v>16054.420000000004</v>
      </c>
      <c r="E43" s="1330">
        <v>7683.43</v>
      </c>
      <c r="F43" s="1330">
        <f t="shared" si="17"/>
        <v>7913.9329000000007</v>
      </c>
      <c r="H43" s="1330">
        <f t="shared" si="18"/>
        <v>0</v>
      </c>
      <c r="I43" s="1330">
        <f t="shared" si="19"/>
        <v>0</v>
      </c>
      <c r="J43" s="1330">
        <f t="shared" si="20"/>
        <v>0</v>
      </c>
      <c r="K43" s="1330">
        <f t="shared" si="21"/>
        <v>-8900.57</v>
      </c>
      <c r="L43" s="1330">
        <f t="shared" si="22"/>
        <v>-9167.5871000000006</v>
      </c>
      <c r="N43" s="1316" t="s">
        <v>532</v>
      </c>
      <c r="O43" s="1330">
        <v>17713.72</v>
      </c>
      <c r="P43" s="1330">
        <v>14062.61</v>
      </c>
      <c r="Q43" s="1330">
        <v>16054.420000000004</v>
      </c>
      <c r="R43" s="1330">
        <v>16584</v>
      </c>
      <c r="S43" s="1330">
        <v>17081.52</v>
      </c>
    </row>
    <row r="44" spans="1:19" x14ac:dyDescent="0.2">
      <c r="A44" s="1316" t="s">
        <v>317</v>
      </c>
      <c r="B44" s="1330">
        <v>11078.82</v>
      </c>
      <c r="C44" s="1330">
        <v>10833.47</v>
      </c>
      <c r="D44" s="1330">
        <v>11759.519999999999</v>
      </c>
      <c r="E44" s="1330">
        <v>11821.27</v>
      </c>
      <c r="F44" s="1330">
        <f t="shared" si="17"/>
        <v>12175.908100000001</v>
      </c>
      <c r="H44" s="1330">
        <f t="shared" si="18"/>
        <v>0</v>
      </c>
      <c r="I44" s="1330">
        <f t="shared" si="19"/>
        <v>0</v>
      </c>
      <c r="J44" s="1330">
        <f t="shared" si="20"/>
        <v>0</v>
      </c>
      <c r="K44" s="1330">
        <f t="shared" si="21"/>
        <v>-326.72999999999956</v>
      </c>
      <c r="L44" s="1330">
        <f t="shared" si="22"/>
        <v>-336.53189999999995</v>
      </c>
      <c r="N44" s="1316" t="s">
        <v>317</v>
      </c>
      <c r="O44" s="1330">
        <v>11078.82</v>
      </c>
      <c r="P44" s="1330">
        <v>10833.47</v>
      </c>
      <c r="Q44" s="1330">
        <v>11759.519999999999</v>
      </c>
      <c r="R44" s="1330">
        <v>12148</v>
      </c>
      <c r="S44" s="1330">
        <v>12512.44</v>
      </c>
    </row>
    <row r="45" spans="1:19" x14ac:dyDescent="0.2">
      <c r="A45" s="1316" t="s">
        <v>523</v>
      </c>
      <c r="B45" s="1330">
        <v>8491.16</v>
      </c>
      <c r="C45" s="1330">
        <v>10557.41</v>
      </c>
      <c r="D45" s="1330">
        <v>10995.19</v>
      </c>
      <c r="E45" s="1330">
        <v>10699.75</v>
      </c>
      <c r="F45" s="1330">
        <f t="shared" si="17"/>
        <v>11020.7425</v>
      </c>
      <c r="H45" s="1330">
        <f t="shared" si="18"/>
        <v>0</v>
      </c>
      <c r="I45" s="1330">
        <f t="shared" si="19"/>
        <v>0</v>
      </c>
      <c r="J45" s="1330">
        <f t="shared" si="20"/>
        <v>0</v>
      </c>
      <c r="K45" s="1330">
        <f t="shared" si="21"/>
        <v>-659.25</v>
      </c>
      <c r="L45" s="1330">
        <f t="shared" si="22"/>
        <v>-679.02750000000015</v>
      </c>
      <c r="N45" s="1316" t="s">
        <v>523</v>
      </c>
      <c r="O45" s="1330">
        <v>8491.16</v>
      </c>
      <c r="P45" s="1330">
        <v>10557.41</v>
      </c>
      <c r="Q45" s="1330">
        <v>10995.19</v>
      </c>
      <c r="R45" s="1330">
        <v>11359</v>
      </c>
      <c r="S45" s="1330">
        <v>11699.77</v>
      </c>
    </row>
    <row r="46" spans="1:19" x14ac:dyDescent="0.2">
      <c r="A46" s="1316" t="s">
        <v>669</v>
      </c>
      <c r="B46" s="1329">
        <v>0</v>
      </c>
      <c r="C46" s="1329">
        <v>0</v>
      </c>
      <c r="D46" s="1329">
        <v>0</v>
      </c>
      <c r="E46" s="1329">
        <v>0</v>
      </c>
      <c r="F46" s="1330">
        <f>F18*F33</f>
        <v>393744</v>
      </c>
      <c r="H46" s="1329">
        <f t="shared" si="18"/>
        <v>0</v>
      </c>
      <c r="I46" s="1329">
        <f t="shared" si="19"/>
        <v>0</v>
      </c>
      <c r="J46" s="1329">
        <f t="shared" si="20"/>
        <v>0</v>
      </c>
      <c r="K46" s="1329">
        <f t="shared" si="21"/>
        <v>0</v>
      </c>
      <c r="L46" s="1330">
        <f t="shared" si="22"/>
        <v>0</v>
      </c>
      <c r="N46" s="1316" t="s">
        <v>669</v>
      </c>
      <c r="O46" s="1329">
        <v>0</v>
      </c>
      <c r="P46" s="1329">
        <v>0</v>
      </c>
      <c r="Q46" s="1329">
        <v>0</v>
      </c>
      <c r="R46" s="1329">
        <v>0</v>
      </c>
      <c r="S46" s="1330">
        <v>393744</v>
      </c>
    </row>
    <row r="47" spans="1:19" x14ac:dyDescent="0.2">
      <c r="A47" s="1316" t="s">
        <v>670</v>
      </c>
      <c r="B47" s="1330">
        <v>1302.18</v>
      </c>
      <c r="C47" s="1330">
        <v>1749.79</v>
      </c>
      <c r="D47" s="1330">
        <v>2379.66</v>
      </c>
      <c r="E47" s="1330">
        <v>1632.08</v>
      </c>
      <c r="F47" s="1330">
        <f>F19*F34</f>
        <v>1681.0424</v>
      </c>
      <c r="H47" s="1330">
        <f t="shared" si="18"/>
        <v>0</v>
      </c>
      <c r="I47" s="1330">
        <f t="shared" si="19"/>
        <v>0</v>
      </c>
      <c r="J47" s="1330">
        <f t="shared" si="20"/>
        <v>0</v>
      </c>
      <c r="K47" s="1330">
        <f t="shared" si="21"/>
        <v>-825.92000000000007</v>
      </c>
      <c r="L47" s="1330">
        <f t="shared" si="22"/>
        <v>-850.69759999999974</v>
      </c>
      <c r="N47" s="1316" t="s">
        <v>670</v>
      </c>
      <c r="O47" s="1330">
        <v>1302.18</v>
      </c>
      <c r="P47" s="1330">
        <v>1749.79</v>
      </c>
      <c r="Q47" s="1330">
        <v>2379.66</v>
      </c>
      <c r="R47" s="1330">
        <v>2458</v>
      </c>
      <c r="S47" s="1330">
        <v>2531.7399999999998</v>
      </c>
    </row>
    <row r="48" spans="1:19" ht="5.0999999999999996" customHeight="1" x14ac:dyDescent="0.2">
      <c r="A48" s="1318"/>
      <c r="B48" s="1331"/>
      <c r="C48" s="1331"/>
      <c r="D48" s="1331"/>
      <c r="E48" s="1331"/>
      <c r="F48" s="1331"/>
      <c r="H48" s="1331"/>
      <c r="I48" s="1331"/>
      <c r="J48" s="1331"/>
      <c r="K48" s="1331"/>
      <c r="L48" s="1331"/>
      <c r="N48" s="1318"/>
      <c r="O48" s="1331"/>
      <c r="P48" s="1331"/>
      <c r="Q48" s="1331"/>
      <c r="R48" s="1331"/>
      <c r="S48" s="1331"/>
    </row>
    <row r="49" spans="1:19" x14ac:dyDescent="0.2">
      <c r="A49" s="1332" t="s">
        <v>674</v>
      </c>
      <c r="B49" s="59">
        <f t="shared" ref="B49:F49" si="23">SUM(B38:B48)</f>
        <v>1032223.64</v>
      </c>
      <c r="C49" s="59">
        <f t="shared" si="23"/>
        <v>1134224.6800000002</v>
      </c>
      <c r="D49" s="59">
        <f t="shared" si="23"/>
        <v>1178064.9799999997</v>
      </c>
      <c r="E49" s="59">
        <f t="shared" si="23"/>
        <v>1181008.4300000002</v>
      </c>
      <c r="F49" s="59">
        <f t="shared" si="23"/>
        <v>1610182.6828999999</v>
      </c>
      <c r="H49" s="59">
        <f>IFERROR(B49-O49,"")</f>
        <v>0</v>
      </c>
      <c r="I49" s="59">
        <f>IFERROR(C49-P49,"")</f>
        <v>0</v>
      </c>
      <c r="J49" s="59">
        <f>IFERROR(D49-Q49,"")</f>
        <v>0</v>
      </c>
      <c r="K49" s="59">
        <f>IFERROR(E49-R49,"")</f>
        <v>-35976.569999999832</v>
      </c>
      <c r="L49" s="59">
        <f>IFERROR(F49-S49,"")</f>
        <v>-37055.867100000149</v>
      </c>
      <c r="N49" s="1332" t="s">
        <v>674</v>
      </c>
      <c r="O49" s="59">
        <v>1032223.64</v>
      </c>
      <c r="P49" s="59">
        <v>1134224.6800000002</v>
      </c>
      <c r="Q49" s="59">
        <v>1178064.9799999997</v>
      </c>
      <c r="R49" s="59">
        <v>1216985</v>
      </c>
      <c r="S49" s="59">
        <v>1647238.55</v>
      </c>
    </row>
    <row r="50" spans="1:19" ht="5.0999999999999996" customHeight="1" x14ac:dyDescent="0.2">
      <c r="A50" s="1333"/>
      <c r="B50" s="1334"/>
      <c r="C50" s="1334"/>
      <c r="D50" s="1334"/>
      <c r="E50" s="1334"/>
      <c r="F50" s="1334"/>
      <c r="H50" s="1334"/>
      <c r="I50" s="1334"/>
      <c r="J50" s="1334"/>
      <c r="K50" s="1334"/>
      <c r="L50" s="1334"/>
      <c r="N50" s="1333"/>
      <c r="O50" s="1334"/>
      <c r="P50" s="1334"/>
      <c r="Q50" s="1334"/>
      <c r="R50" s="1334"/>
      <c r="S50" s="1334"/>
    </row>
    <row r="51" spans="1:19" x14ac:dyDescent="0.2">
      <c r="A51" s="1312" t="s">
        <v>675</v>
      </c>
      <c r="B51" s="1326"/>
      <c r="C51" s="960"/>
      <c r="D51" s="960"/>
      <c r="E51" s="960"/>
      <c r="F51" s="1326"/>
      <c r="H51" s="1326"/>
      <c r="I51" s="960"/>
      <c r="J51" s="960"/>
      <c r="K51" s="960"/>
      <c r="L51" s="1326"/>
      <c r="N51" s="1312" t="s">
        <v>675</v>
      </c>
      <c r="O51" s="1326"/>
      <c r="P51" s="960"/>
      <c r="Q51" s="960"/>
      <c r="R51" s="960"/>
      <c r="S51" s="1326"/>
    </row>
    <row r="52" spans="1:19" ht="5.0999999999999996" customHeight="1" x14ac:dyDescent="0.2">
      <c r="A52" s="1316"/>
      <c r="B52" s="1335"/>
      <c r="C52" s="1335"/>
      <c r="D52" s="1335"/>
      <c r="E52" s="1335"/>
      <c r="F52" s="1335"/>
      <c r="H52" s="1335"/>
      <c r="I52" s="1335"/>
      <c r="J52" s="1335"/>
      <c r="K52" s="1335"/>
      <c r="L52" s="1335"/>
      <c r="N52" s="1316"/>
      <c r="O52" s="1335"/>
      <c r="P52" s="1335"/>
      <c r="Q52" s="1335"/>
      <c r="R52" s="1335"/>
      <c r="S52" s="1335"/>
    </row>
    <row r="53" spans="1:19" x14ac:dyDescent="0.2">
      <c r="A53" s="1316" t="s">
        <v>319</v>
      </c>
      <c r="B53" s="800">
        <v>4963840.2</v>
      </c>
      <c r="C53" s="800">
        <v>5273325.2</v>
      </c>
      <c r="D53" s="800">
        <v>5297413</v>
      </c>
      <c r="E53" s="800">
        <f>+D53</f>
        <v>5297413</v>
      </c>
      <c r="F53" s="800">
        <f>E53</f>
        <v>5297413</v>
      </c>
      <c r="H53" s="800">
        <f t="shared" ref="H53:H61" si="24">IFERROR(B53-O53,"")</f>
        <v>0</v>
      </c>
      <c r="I53" s="800">
        <f t="shared" ref="I53:I61" si="25">IFERROR(C53-P53,"")</f>
        <v>0</v>
      </c>
      <c r="J53" s="800">
        <f t="shared" ref="J53:J61" si="26">IFERROR(D53-Q53,"")</f>
        <v>0</v>
      </c>
      <c r="K53" s="800">
        <f t="shared" ref="K53:K61" si="27">IFERROR(E53-R53,"")</f>
        <v>0</v>
      </c>
      <c r="L53" s="800">
        <f t="shared" ref="L53:L61" si="28">IFERROR(F53-S53,"")</f>
        <v>0</v>
      </c>
      <c r="N53" s="1316" t="s">
        <v>319</v>
      </c>
      <c r="O53" s="800">
        <v>4963840.2</v>
      </c>
      <c r="P53" s="800">
        <v>5273325.2</v>
      </c>
      <c r="Q53" s="800">
        <v>5297413</v>
      </c>
      <c r="R53" s="800">
        <v>5297413</v>
      </c>
      <c r="S53" s="800">
        <v>5297413</v>
      </c>
    </row>
    <row r="54" spans="1:19" x14ac:dyDescent="0.2">
      <c r="A54" s="1316" t="s">
        <v>526</v>
      </c>
      <c r="B54" s="800">
        <v>3794604</v>
      </c>
      <c r="C54" s="800">
        <v>4468926</v>
      </c>
      <c r="D54" s="800">
        <v>3664850</v>
      </c>
      <c r="E54" s="800">
        <f>+D54</f>
        <v>3664850</v>
      </c>
      <c r="F54" s="800">
        <f t="shared" ref="F54:F60" si="29">E54</f>
        <v>3664850</v>
      </c>
      <c r="H54" s="800">
        <f t="shared" si="24"/>
        <v>0</v>
      </c>
      <c r="I54" s="800">
        <f t="shared" si="25"/>
        <v>0</v>
      </c>
      <c r="J54" s="800">
        <f t="shared" si="26"/>
        <v>0</v>
      </c>
      <c r="K54" s="800">
        <f t="shared" si="27"/>
        <v>0</v>
      </c>
      <c r="L54" s="800">
        <f t="shared" si="28"/>
        <v>0</v>
      </c>
      <c r="N54" s="1316" t="s">
        <v>405</v>
      </c>
      <c r="O54" s="800">
        <v>3794604</v>
      </c>
      <c r="P54" s="800">
        <v>4468926</v>
      </c>
      <c r="Q54" s="800">
        <v>3664850</v>
      </c>
      <c r="R54" s="800">
        <v>3664850</v>
      </c>
      <c r="S54" s="800">
        <v>3664850</v>
      </c>
    </row>
    <row r="55" spans="1:19" x14ac:dyDescent="0.2">
      <c r="A55" s="1320" t="s">
        <v>676</v>
      </c>
      <c r="B55" s="800">
        <v>734536</v>
      </c>
      <c r="C55" s="800">
        <v>809336</v>
      </c>
      <c r="D55" s="800">
        <v>709852</v>
      </c>
      <c r="E55" s="800">
        <f>+D55</f>
        <v>709852</v>
      </c>
      <c r="F55" s="800">
        <v>0</v>
      </c>
      <c r="H55" s="800">
        <f t="shared" si="24"/>
        <v>0</v>
      </c>
      <c r="I55" s="800">
        <f t="shared" si="25"/>
        <v>0</v>
      </c>
      <c r="J55" s="800">
        <f t="shared" si="26"/>
        <v>0</v>
      </c>
      <c r="K55" s="800">
        <f t="shared" si="27"/>
        <v>0</v>
      </c>
      <c r="L55" s="800">
        <f t="shared" si="28"/>
        <v>0</v>
      </c>
      <c r="N55" s="1320" t="s">
        <v>676</v>
      </c>
      <c r="O55" s="800">
        <v>734536</v>
      </c>
      <c r="P55" s="800">
        <v>809336</v>
      </c>
      <c r="Q55" s="800">
        <v>709852</v>
      </c>
      <c r="R55" s="800">
        <v>709852</v>
      </c>
      <c r="S55" s="800">
        <v>0</v>
      </c>
    </row>
    <row r="56" spans="1:19" x14ac:dyDescent="0.2">
      <c r="A56" s="1316" t="s">
        <v>666</v>
      </c>
      <c r="B56" s="800">
        <v>997466.40000000014</v>
      </c>
      <c r="C56" s="800">
        <v>492745.2</v>
      </c>
      <c r="D56" s="800">
        <v>558130</v>
      </c>
      <c r="E56" s="800">
        <f>+D56</f>
        <v>558130</v>
      </c>
      <c r="F56" s="800">
        <f t="shared" si="29"/>
        <v>558130</v>
      </c>
      <c r="H56" s="800">
        <f t="shared" si="24"/>
        <v>0</v>
      </c>
      <c r="I56" s="800">
        <f t="shared" si="25"/>
        <v>0</v>
      </c>
      <c r="J56" s="800">
        <f t="shared" si="26"/>
        <v>0</v>
      </c>
      <c r="K56" s="800">
        <f t="shared" si="27"/>
        <v>0</v>
      </c>
      <c r="L56" s="800">
        <f t="shared" si="28"/>
        <v>0</v>
      </c>
      <c r="N56" s="1316" t="s">
        <v>410</v>
      </c>
      <c r="O56" s="800">
        <v>997466.40000000014</v>
      </c>
      <c r="P56" s="800">
        <v>492745.2</v>
      </c>
      <c r="Q56" s="800">
        <v>558130</v>
      </c>
      <c r="R56" s="800">
        <v>558130</v>
      </c>
      <c r="S56" s="800">
        <v>558130</v>
      </c>
    </row>
    <row r="57" spans="1:19" x14ac:dyDescent="0.2">
      <c r="A57" s="1316" t="s">
        <v>532</v>
      </c>
      <c r="B57" s="800">
        <v>216920</v>
      </c>
      <c r="C57" s="800">
        <v>249092</v>
      </c>
      <c r="D57" s="800">
        <v>442816</v>
      </c>
      <c r="E57" s="800">
        <f t="shared" ref="E57:E61" si="30">+D57</f>
        <v>442816</v>
      </c>
      <c r="F57" s="800">
        <f>E57</f>
        <v>442816</v>
      </c>
      <c r="H57" s="800">
        <f t="shared" si="24"/>
        <v>0</v>
      </c>
      <c r="I57" s="800">
        <f t="shared" si="25"/>
        <v>0</v>
      </c>
      <c r="J57" s="800">
        <f t="shared" si="26"/>
        <v>0</v>
      </c>
      <c r="K57" s="800">
        <f t="shared" si="27"/>
        <v>0</v>
      </c>
      <c r="L57" s="800">
        <f t="shared" si="28"/>
        <v>0</v>
      </c>
      <c r="N57" s="1316" t="s">
        <v>532</v>
      </c>
      <c r="O57" s="800">
        <v>216920</v>
      </c>
      <c r="P57" s="800">
        <v>249092</v>
      </c>
      <c r="Q57" s="800">
        <v>442816</v>
      </c>
      <c r="R57" s="800">
        <v>442816</v>
      </c>
      <c r="S57" s="800">
        <v>442816</v>
      </c>
    </row>
    <row r="58" spans="1:19" x14ac:dyDescent="0.2">
      <c r="A58" s="1316" t="s">
        <v>317</v>
      </c>
      <c r="B58" s="800">
        <v>106216</v>
      </c>
      <c r="C58" s="800">
        <v>93500</v>
      </c>
      <c r="D58" s="800">
        <v>65076</v>
      </c>
      <c r="E58" s="800">
        <f t="shared" si="30"/>
        <v>65076</v>
      </c>
      <c r="F58" s="800">
        <f>E58</f>
        <v>65076</v>
      </c>
      <c r="H58" s="800">
        <f t="shared" si="24"/>
        <v>0</v>
      </c>
      <c r="I58" s="800">
        <f t="shared" si="25"/>
        <v>0</v>
      </c>
      <c r="J58" s="800">
        <f t="shared" si="26"/>
        <v>0</v>
      </c>
      <c r="K58" s="800">
        <f t="shared" si="27"/>
        <v>0</v>
      </c>
      <c r="L58" s="800">
        <f t="shared" si="28"/>
        <v>0</v>
      </c>
      <c r="N58" s="1316" t="s">
        <v>317</v>
      </c>
      <c r="O58" s="800">
        <v>106216</v>
      </c>
      <c r="P58" s="800">
        <v>93500</v>
      </c>
      <c r="Q58" s="800">
        <v>65076</v>
      </c>
      <c r="R58" s="800">
        <v>65076</v>
      </c>
      <c r="S58" s="800">
        <v>65076</v>
      </c>
    </row>
    <row r="59" spans="1:19" x14ac:dyDescent="0.2">
      <c r="A59" s="1316" t="s">
        <v>669</v>
      </c>
      <c r="B59" s="800">
        <v>0</v>
      </c>
      <c r="C59" s="800">
        <v>0</v>
      </c>
      <c r="D59" s="800">
        <v>0</v>
      </c>
      <c r="E59" s="800">
        <v>0</v>
      </c>
      <c r="F59" s="800">
        <f>E55</f>
        <v>709852</v>
      </c>
      <c r="H59" s="800">
        <f t="shared" si="24"/>
        <v>0</v>
      </c>
      <c r="I59" s="800">
        <f t="shared" si="25"/>
        <v>0</v>
      </c>
      <c r="J59" s="800">
        <f t="shared" si="26"/>
        <v>0</v>
      </c>
      <c r="K59" s="800">
        <f t="shared" si="27"/>
        <v>0</v>
      </c>
      <c r="L59" s="800">
        <f t="shared" si="28"/>
        <v>0</v>
      </c>
      <c r="N59" s="1316" t="s">
        <v>669</v>
      </c>
      <c r="O59" s="800">
        <v>0</v>
      </c>
      <c r="P59" s="800">
        <v>0</v>
      </c>
      <c r="Q59" s="800">
        <v>0</v>
      </c>
      <c r="R59" s="800">
        <v>0</v>
      </c>
      <c r="S59" s="800">
        <v>709852</v>
      </c>
    </row>
    <row r="60" spans="1:19" x14ac:dyDescent="0.2">
      <c r="A60" s="1316" t="s">
        <v>670</v>
      </c>
      <c r="B60" s="800">
        <v>27676</v>
      </c>
      <c r="C60" s="800">
        <v>73304</v>
      </c>
      <c r="D60" s="800">
        <v>139876</v>
      </c>
      <c r="E60" s="800">
        <f t="shared" si="30"/>
        <v>139876</v>
      </c>
      <c r="F60" s="800">
        <f t="shared" si="29"/>
        <v>139876</v>
      </c>
      <c r="H60" s="800">
        <f t="shared" si="24"/>
        <v>0</v>
      </c>
      <c r="I60" s="800">
        <f t="shared" si="25"/>
        <v>0</v>
      </c>
      <c r="J60" s="800">
        <f t="shared" si="26"/>
        <v>0</v>
      </c>
      <c r="K60" s="800">
        <f t="shared" si="27"/>
        <v>0</v>
      </c>
      <c r="L60" s="800">
        <f t="shared" si="28"/>
        <v>0</v>
      </c>
      <c r="N60" s="1316" t="s">
        <v>670</v>
      </c>
      <c r="O60" s="800">
        <v>27676</v>
      </c>
      <c r="P60" s="800">
        <v>73304</v>
      </c>
      <c r="Q60" s="800">
        <v>139876</v>
      </c>
      <c r="R60" s="800">
        <v>139876</v>
      </c>
      <c r="S60" s="800">
        <v>139876</v>
      </c>
    </row>
    <row r="61" spans="1:19" x14ac:dyDescent="0.2">
      <c r="A61" s="1316" t="s">
        <v>201</v>
      </c>
      <c r="B61" s="800">
        <v>3175260</v>
      </c>
      <c r="C61" s="800">
        <v>3287854</v>
      </c>
      <c r="D61" s="800">
        <v>2530504</v>
      </c>
      <c r="E61" s="800">
        <f t="shared" si="30"/>
        <v>2530504</v>
      </c>
      <c r="F61" s="800">
        <f>E61</f>
        <v>2530504</v>
      </c>
      <c r="H61" s="800">
        <f t="shared" si="24"/>
        <v>0</v>
      </c>
      <c r="I61" s="800">
        <f t="shared" si="25"/>
        <v>0</v>
      </c>
      <c r="J61" s="800">
        <f t="shared" si="26"/>
        <v>0</v>
      </c>
      <c r="K61" s="800">
        <f t="shared" si="27"/>
        <v>0</v>
      </c>
      <c r="L61" s="800">
        <f t="shared" si="28"/>
        <v>0</v>
      </c>
      <c r="N61" s="1316" t="s">
        <v>201</v>
      </c>
      <c r="O61" s="800">
        <v>3175260</v>
      </c>
      <c r="P61" s="800">
        <v>3287854</v>
      </c>
      <c r="Q61" s="800">
        <v>2530504</v>
      </c>
      <c r="R61" s="800">
        <v>2530504</v>
      </c>
      <c r="S61" s="800">
        <v>2530504</v>
      </c>
    </row>
    <row r="62" spans="1:19" ht="5.0999999999999996" customHeight="1" x14ac:dyDescent="0.2">
      <c r="A62" s="1318"/>
      <c r="B62" s="1319"/>
      <c r="C62" s="1319"/>
      <c r="D62" s="1319"/>
      <c r="E62" s="1319"/>
      <c r="F62" s="1319"/>
      <c r="H62" s="1319"/>
      <c r="I62" s="1319"/>
      <c r="J62" s="1319"/>
      <c r="K62" s="1319"/>
      <c r="L62" s="1319"/>
      <c r="N62" s="1318"/>
      <c r="O62" s="1319"/>
      <c r="P62" s="1319"/>
      <c r="Q62" s="1319"/>
      <c r="R62" s="1319"/>
      <c r="S62" s="1319"/>
    </row>
    <row r="63" spans="1:19" x14ac:dyDescent="0.2">
      <c r="A63" s="1320" t="s">
        <v>592</v>
      </c>
      <c r="B63" s="427">
        <f t="shared" ref="B63:F63" si="31">SUM(B53:B61)</f>
        <v>14016518.6</v>
      </c>
      <c r="C63" s="427">
        <f t="shared" si="31"/>
        <v>14748082.399999999</v>
      </c>
      <c r="D63" s="427">
        <f>SUM(D53:D61)</f>
        <v>13408517</v>
      </c>
      <c r="E63" s="427">
        <f t="shared" si="31"/>
        <v>13408517</v>
      </c>
      <c r="F63" s="427">
        <f t="shared" si="31"/>
        <v>13408517</v>
      </c>
      <c r="H63" s="427">
        <f>IFERROR(B63-O63,"")</f>
        <v>0</v>
      </c>
      <c r="I63" s="427">
        <f>IFERROR(C63-P63,"")</f>
        <v>0</v>
      </c>
      <c r="J63" s="427">
        <f>IFERROR(D63-Q63,"")</f>
        <v>0</v>
      </c>
      <c r="K63" s="427">
        <f>IFERROR(E63-R63,"")</f>
        <v>0</v>
      </c>
      <c r="L63" s="427">
        <f>IFERROR(F63-S63,"")</f>
        <v>0</v>
      </c>
      <c r="N63" s="1320" t="s">
        <v>592</v>
      </c>
      <c r="O63" s="427">
        <v>14016518.6</v>
      </c>
      <c r="P63" s="427">
        <v>14748082.399999999</v>
      </c>
      <c r="Q63" s="427">
        <v>13408517</v>
      </c>
      <c r="R63" s="427">
        <v>13408517</v>
      </c>
      <c r="S63" s="427">
        <v>13408517</v>
      </c>
    </row>
    <row r="64" spans="1:19" ht="5.0999999999999996" customHeight="1" x14ac:dyDescent="0.2">
      <c r="A64" s="1336"/>
      <c r="B64" s="1337"/>
      <c r="C64" s="1337"/>
      <c r="D64" s="1337"/>
      <c r="E64" s="1326"/>
      <c r="F64" s="1326"/>
      <c r="H64" s="1337"/>
      <c r="I64" s="1337"/>
      <c r="J64" s="1337"/>
      <c r="K64" s="1326"/>
      <c r="L64" s="1326"/>
      <c r="N64" s="1336"/>
      <c r="O64" s="1337"/>
      <c r="P64" s="1337"/>
      <c r="Q64" s="1337"/>
      <c r="R64" s="1326"/>
      <c r="S64" s="1326"/>
    </row>
    <row r="65" spans="1:19" x14ac:dyDescent="0.2">
      <c r="A65" s="1324" t="s">
        <v>677</v>
      </c>
      <c r="B65" s="1338"/>
      <c r="C65" s="1338"/>
      <c r="D65" s="1338"/>
      <c r="E65" s="1339"/>
      <c r="F65" s="1326"/>
      <c r="H65" s="1338"/>
      <c r="I65" s="1338"/>
      <c r="J65" s="1338"/>
      <c r="K65" s="1339"/>
      <c r="L65" s="1326"/>
      <c r="N65" s="1324" t="s">
        <v>677</v>
      </c>
      <c r="O65" s="1338"/>
      <c r="P65" s="1338"/>
      <c r="Q65" s="1338"/>
      <c r="R65" s="1339"/>
      <c r="S65" s="1326"/>
    </row>
    <row r="66" spans="1:19" ht="5.0999999999999996" customHeight="1" x14ac:dyDescent="0.2">
      <c r="A66" s="1320"/>
      <c r="B66" s="1326"/>
      <c r="C66" s="1326"/>
      <c r="D66" s="1326"/>
      <c r="E66" s="1326"/>
      <c r="F66" s="1326"/>
      <c r="H66" s="1326"/>
      <c r="I66" s="1326"/>
      <c r="J66" s="1326"/>
      <c r="K66" s="1326"/>
      <c r="L66" s="1326"/>
      <c r="N66" s="1320"/>
      <c r="O66" s="1326"/>
      <c r="P66" s="1326"/>
      <c r="Q66" s="1326"/>
      <c r="R66" s="1326"/>
      <c r="S66" s="1326"/>
    </row>
    <row r="67" spans="1:19" x14ac:dyDescent="0.2">
      <c r="A67" s="1316" t="s">
        <v>319</v>
      </c>
      <c r="B67" s="1327">
        <f t="shared" ref="B67:E72" si="32">+B79/B53</f>
        <v>1.9821655419124892E-2</v>
      </c>
      <c r="C67" s="1327">
        <f t="shared" si="32"/>
        <v>2.8393088672020454E-2</v>
      </c>
      <c r="D67" s="1327">
        <f t="shared" si="32"/>
        <v>3.4426962745777979E-2</v>
      </c>
      <c r="E67" s="1327">
        <f t="shared" si="32"/>
        <v>3.1859235819446212E-2</v>
      </c>
      <c r="F67" s="1327">
        <f>E67*(1+$F$4)</f>
        <v>3.2815012894029598E-2</v>
      </c>
      <c r="H67" s="1327">
        <f t="shared" ref="H67:H75" si="33">IFERROR(B67-O67,"")</f>
        <v>0</v>
      </c>
      <c r="I67" s="1327">
        <f t="shared" ref="I67:I75" si="34">IFERROR(C67-P67,"")</f>
        <v>0</v>
      </c>
      <c r="J67" s="1327">
        <f t="shared" ref="J67:J75" si="35">IFERROR(D67-Q67,"")</f>
        <v>0</v>
      </c>
      <c r="K67" s="1327">
        <f t="shared" ref="K67:K75" si="36">IFERROR(E67-R67,"")</f>
        <v>-3.7051047369725532E-3</v>
      </c>
      <c r="L67" s="1327">
        <f t="shared" ref="L67:L75" si="37">IFERROR(F67-S67,"")</f>
        <v>-3.8162578790817345E-3</v>
      </c>
      <c r="N67" s="1316" t="s">
        <v>319</v>
      </c>
      <c r="O67" s="1327">
        <v>1.9821655419124892E-2</v>
      </c>
      <c r="P67" s="1327">
        <v>2.8393088672020454E-2</v>
      </c>
      <c r="Q67" s="1327">
        <v>3.4426962745777979E-2</v>
      </c>
      <c r="R67" s="1327">
        <v>3.5564340556418765E-2</v>
      </c>
      <c r="S67" s="1327">
        <v>3.6631270773111332E-2</v>
      </c>
    </row>
    <row r="68" spans="1:19" x14ac:dyDescent="0.2">
      <c r="A68" s="1316" t="s">
        <v>526</v>
      </c>
      <c r="B68" s="1329">
        <f t="shared" si="32"/>
        <v>2.0462122002717544E-2</v>
      </c>
      <c r="C68" s="1329">
        <f t="shared" si="32"/>
        <v>2.5291973955263523E-2</v>
      </c>
      <c r="D68" s="1329">
        <f t="shared" si="32"/>
        <v>4.3641807986684308E-2</v>
      </c>
      <c r="E68" s="1329">
        <f t="shared" si="32"/>
        <v>3.9465129541454633E-2</v>
      </c>
      <c r="F68" s="1329">
        <f>E68*(1+$F$4)</f>
        <v>4.0649083427698275E-2</v>
      </c>
      <c r="H68" s="1329">
        <f t="shared" si="33"/>
        <v>0</v>
      </c>
      <c r="I68" s="1329">
        <f t="shared" si="34"/>
        <v>0</v>
      </c>
      <c r="J68" s="1329">
        <f t="shared" si="35"/>
        <v>0</v>
      </c>
      <c r="K68" s="1329">
        <f t="shared" si="36"/>
        <v>-5.6182981568140555E-3</v>
      </c>
      <c r="L68" s="1329">
        <f t="shared" si="37"/>
        <v>-5.7868471015184719E-3</v>
      </c>
      <c r="N68" s="1316" t="s">
        <v>405</v>
      </c>
      <c r="O68" s="1329">
        <v>2.0462122002717544E-2</v>
      </c>
      <c r="P68" s="1329">
        <v>2.5291973955263523E-2</v>
      </c>
      <c r="Q68" s="1329">
        <v>4.3641807986684308E-2</v>
      </c>
      <c r="R68" s="1329">
        <v>4.5083427698268688E-2</v>
      </c>
      <c r="S68" s="1329">
        <v>4.6435930529216747E-2</v>
      </c>
    </row>
    <row r="69" spans="1:19" x14ac:dyDescent="0.2">
      <c r="A69" s="1320" t="s">
        <v>676</v>
      </c>
      <c r="B69" s="1329">
        <f t="shared" si="32"/>
        <v>2.1091505385712882E-2</v>
      </c>
      <c r="C69" s="1329">
        <f t="shared" si="32"/>
        <v>2.1540707444127036E-2</v>
      </c>
      <c r="D69" s="1329">
        <f t="shared" si="32"/>
        <v>2.5154313856973004E-2</v>
      </c>
      <c r="E69" s="1329">
        <f t="shared" si="32"/>
        <v>2.4923970066999885E-2</v>
      </c>
      <c r="F69" s="1329">
        <v>0</v>
      </c>
      <c r="H69" s="1329">
        <f t="shared" si="33"/>
        <v>0</v>
      </c>
      <c r="I69" s="1329">
        <f t="shared" si="34"/>
        <v>0</v>
      </c>
      <c r="J69" s="1329">
        <f t="shared" si="35"/>
        <v>0</v>
      </c>
      <c r="K69" s="1329">
        <f t="shared" si="36"/>
        <v>-1.061728360277913E-3</v>
      </c>
      <c r="L69" s="1329">
        <f t="shared" si="37"/>
        <v>0</v>
      </c>
      <c r="N69" s="1320" t="s">
        <v>676</v>
      </c>
      <c r="O69" s="1329">
        <v>2.1091505385712882E-2</v>
      </c>
      <c r="P69" s="1329">
        <v>2.1540707444127036E-2</v>
      </c>
      <c r="Q69" s="1329">
        <v>2.5154313856973004E-2</v>
      </c>
      <c r="R69" s="1329">
        <v>2.5985698427277798E-2</v>
      </c>
      <c r="S69" s="1329">
        <v>0</v>
      </c>
    </row>
    <row r="70" spans="1:19" x14ac:dyDescent="0.2">
      <c r="A70" s="1316" t="s">
        <v>666</v>
      </c>
      <c r="B70" s="1329">
        <f t="shared" si="32"/>
        <v>1.0996741343868821E-2</v>
      </c>
      <c r="C70" s="1329">
        <f t="shared" si="32"/>
        <v>1.9438565814542688E-2</v>
      </c>
      <c r="D70" s="1329">
        <f t="shared" si="32"/>
        <v>2.1044935767652696E-2</v>
      </c>
      <c r="E70" s="1329">
        <f t="shared" si="32"/>
        <v>4.0353519789296396E-2</v>
      </c>
      <c r="F70" s="1329">
        <f>E70*(1+$F$4)</f>
        <v>4.1564125382975291E-2</v>
      </c>
      <c r="H70" s="1329">
        <f t="shared" si="33"/>
        <v>0</v>
      </c>
      <c r="I70" s="1329">
        <f t="shared" si="34"/>
        <v>0</v>
      </c>
      <c r="J70" s="1329">
        <f t="shared" si="35"/>
        <v>0</v>
      </c>
      <c r="K70" s="1329">
        <f t="shared" si="36"/>
        <v>1.8614856753802873E-2</v>
      </c>
      <c r="L70" s="1329">
        <f t="shared" si="37"/>
        <v>1.9173302456416963E-2</v>
      </c>
      <c r="N70" s="1316" t="s">
        <v>410</v>
      </c>
      <c r="O70" s="1329">
        <v>1.0996741343868821E-2</v>
      </c>
      <c r="P70" s="1329">
        <v>1.9438565814542688E-2</v>
      </c>
      <c r="Q70" s="1329">
        <v>2.1044935767652696E-2</v>
      </c>
      <c r="R70" s="1329">
        <v>2.1738663035493523E-2</v>
      </c>
      <c r="S70" s="1329">
        <v>2.2390822926558328E-2</v>
      </c>
    </row>
    <row r="71" spans="1:19" x14ac:dyDescent="0.2">
      <c r="A71" s="1316" t="s">
        <v>532</v>
      </c>
      <c r="B71" s="1329">
        <f t="shared" si="32"/>
        <v>1.4795731145122625E-2</v>
      </c>
      <c r="C71" s="1329">
        <f t="shared" si="32"/>
        <v>1.3033136351227659E-2</v>
      </c>
      <c r="D71" s="1329">
        <f t="shared" si="32"/>
        <v>1.3514687816158404E-2</v>
      </c>
      <c r="E71" s="1329">
        <f t="shared" si="32"/>
        <v>1.9557852471455413E-2</v>
      </c>
      <c r="F71" s="1329">
        <f>E71*(1+$F$4)</f>
        <v>2.0144588045599078E-2</v>
      </c>
      <c r="H71" s="1329">
        <f t="shared" si="33"/>
        <v>0</v>
      </c>
      <c r="I71" s="1329">
        <f t="shared" si="34"/>
        <v>0</v>
      </c>
      <c r="J71" s="1329">
        <f t="shared" si="35"/>
        <v>0</v>
      </c>
      <c r="K71" s="1329">
        <f t="shared" si="36"/>
        <v>5.5994589174736247E-3</v>
      </c>
      <c r="L71" s="1329">
        <f t="shared" si="37"/>
        <v>5.7674426849978356E-3</v>
      </c>
      <c r="N71" s="1316" t="s">
        <v>532</v>
      </c>
      <c r="O71" s="1329">
        <v>1.4795731145122625E-2</v>
      </c>
      <c r="P71" s="1329">
        <v>1.3033136351227659E-2</v>
      </c>
      <c r="Q71" s="1329">
        <v>1.3514687816158404E-2</v>
      </c>
      <c r="R71" s="1329">
        <v>1.3958393553981789E-2</v>
      </c>
      <c r="S71" s="1329">
        <v>1.4377145360601242E-2</v>
      </c>
    </row>
    <row r="72" spans="1:19" x14ac:dyDescent="0.2">
      <c r="A72" s="1316" t="s">
        <v>317</v>
      </c>
      <c r="B72" s="1329">
        <f t="shared" si="32"/>
        <v>2.7485501242750621E-2</v>
      </c>
      <c r="C72" s="1329">
        <f t="shared" si="32"/>
        <v>3.5694224598930478E-2</v>
      </c>
      <c r="D72" s="1329">
        <f t="shared" si="32"/>
        <v>5.9088757760157359E-2</v>
      </c>
      <c r="E72" s="1329">
        <f>+E84/E58</f>
        <v>5.7424549757206955E-2</v>
      </c>
      <c r="F72" s="1329">
        <f>E72*(1+$F$4)</f>
        <v>5.9147286249923166E-2</v>
      </c>
      <c r="H72" s="1329">
        <f t="shared" si="33"/>
        <v>0</v>
      </c>
      <c r="I72" s="1329">
        <f t="shared" si="34"/>
        <v>0</v>
      </c>
      <c r="J72" s="1329">
        <f t="shared" si="35"/>
        <v>0</v>
      </c>
      <c r="K72" s="1329">
        <f t="shared" si="36"/>
        <v>-3.6117769992009344E-3</v>
      </c>
      <c r="L72" s="1329">
        <f t="shared" si="37"/>
        <v>-3.7201303091769569E-3</v>
      </c>
      <c r="N72" s="1316" t="s">
        <v>317</v>
      </c>
      <c r="O72" s="1329">
        <v>2.7485501242750621E-2</v>
      </c>
      <c r="P72" s="1329">
        <v>3.5694224598930478E-2</v>
      </c>
      <c r="Q72" s="1329">
        <v>5.9088757760157359E-2</v>
      </c>
      <c r="R72" s="1329">
        <v>6.103632675640789E-2</v>
      </c>
      <c r="S72" s="1329">
        <v>6.2867416559100123E-2</v>
      </c>
    </row>
    <row r="73" spans="1:19" x14ac:dyDescent="0.2">
      <c r="A73" s="1316" t="s">
        <v>669</v>
      </c>
      <c r="B73" s="1329">
        <v>0</v>
      </c>
      <c r="C73" s="1329">
        <v>0</v>
      </c>
      <c r="D73" s="1329">
        <v>0</v>
      </c>
      <c r="E73" s="1329">
        <v>0</v>
      </c>
      <c r="F73" s="1329">
        <f>E69*(1+$F$4)</f>
        <v>2.5671689169009883E-2</v>
      </c>
      <c r="H73" s="1329">
        <f t="shared" si="33"/>
        <v>0</v>
      </c>
      <c r="I73" s="1329">
        <f t="shared" si="34"/>
        <v>0</v>
      </c>
      <c r="J73" s="1329">
        <f t="shared" si="35"/>
        <v>0</v>
      </c>
      <c r="K73" s="1329">
        <f t="shared" si="36"/>
        <v>0</v>
      </c>
      <c r="L73" s="1329">
        <f t="shared" si="37"/>
        <v>-1.0935802110862494E-3</v>
      </c>
      <c r="N73" s="1316" t="s">
        <v>669</v>
      </c>
      <c r="O73" s="1329">
        <v>0</v>
      </c>
      <c r="P73" s="1329">
        <v>0</v>
      </c>
      <c r="Q73" s="1329">
        <v>0</v>
      </c>
      <c r="R73" s="1329">
        <v>0</v>
      </c>
      <c r="S73" s="1329">
        <v>2.6765269380096133E-2</v>
      </c>
    </row>
    <row r="74" spans="1:19" x14ac:dyDescent="0.2">
      <c r="A74" s="1316" t="s">
        <v>670</v>
      </c>
      <c r="B74" s="1329">
        <f t="shared" ref="B74:E75" si="38">+B86/B60</f>
        <v>5.0209567856626676E-2</v>
      </c>
      <c r="C74" s="1329">
        <f t="shared" si="38"/>
        <v>2.4073038306231583E-2</v>
      </c>
      <c r="D74" s="1329">
        <f t="shared" si="38"/>
        <v>1.7245131402099E-2</v>
      </c>
      <c r="E74" s="1329">
        <f t="shared" si="38"/>
        <v>2.0673382138465497E-2</v>
      </c>
      <c r="F74" s="1329">
        <f>E74*(1+$F$4)</f>
        <v>2.1293583602619463E-2</v>
      </c>
      <c r="H74" s="1329">
        <f t="shared" si="33"/>
        <v>0</v>
      </c>
      <c r="I74" s="1329">
        <f t="shared" si="34"/>
        <v>0</v>
      </c>
      <c r="J74" s="1329">
        <f t="shared" si="35"/>
        <v>0</v>
      </c>
      <c r="K74" s="1329">
        <f t="shared" si="36"/>
        <v>2.857602447882409E-3</v>
      </c>
      <c r="L74" s="1329">
        <f t="shared" si="37"/>
        <v>2.9433305213188814E-3</v>
      </c>
      <c r="N74" s="1316" t="s">
        <v>670</v>
      </c>
      <c r="O74" s="1329">
        <v>5.0209567856626676E-2</v>
      </c>
      <c r="P74" s="1329">
        <v>2.4073038306231583E-2</v>
      </c>
      <c r="Q74" s="1329">
        <v>1.7245131402099E-2</v>
      </c>
      <c r="R74" s="1329">
        <v>1.7815779690583088E-2</v>
      </c>
      <c r="S74" s="1329">
        <v>1.8350253081300581E-2</v>
      </c>
    </row>
    <row r="75" spans="1:19" x14ac:dyDescent="0.2">
      <c r="A75" s="1316" t="s">
        <v>201</v>
      </c>
      <c r="B75" s="1329">
        <f t="shared" si="38"/>
        <v>8.1595333925410813E-3</v>
      </c>
      <c r="C75" s="1329">
        <f t="shared" si="38"/>
        <v>8.3385880273272473E-3</v>
      </c>
      <c r="D75" s="1329">
        <f t="shared" si="38"/>
        <v>1.027913016537417E-2</v>
      </c>
      <c r="E75" s="1329">
        <f t="shared" si="38"/>
        <v>8.6564376108474832E-3</v>
      </c>
      <c r="F75" s="1329">
        <f>E75*(1+$F$4)</f>
        <v>8.9161307391729082E-3</v>
      </c>
      <c r="H75" s="1329">
        <f t="shared" si="33"/>
        <v>0</v>
      </c>
      <c r="I75" s="1329">
        <f t="shared" si="34"/>
        <v>0</v>
      </c>
      <c r="J75" s="1329">
        <f t="shared" si="35"/>
        <v>0</v>
      </c>
      <c r="K75" s="1329">
        <f t="shared" si="36"/>
        <v>-1.9620004552452792E-3</v>
      </c>
      <c r="L75" s="1329">
        <f t="shared" si="37"/>
        <v>-2.0208604689026365E-3</v>
      </c>
      <c r="N75" s="1316" t="s">
        <v>201</v>
      </c>
      <c r="O75" s="1329">
        <v>8.1595333925410813E-3</v>
      </c>
      <c r="P75" s="1329">
        <v>8.3385880273272473E-3</v>
      </c>
      <c r="Q75" s="1329">
        <v>1.027913016537417E-2</v>
      </c>
      <c r="R75" s="1329">
        <v>1.0618438066092762E-2</v>
      </c>
      <c r="S75" s="1329">
        <v>1.0936991208075545E-2</v>
      </c>
    </row>
    <row r="76" spans="1:19" ht="5.0999999999999996" customHeight="1" x14ac:dyDescent="0.2">
      <c r="A76" s="1318"/>
      <c r="B76" s="1340"/>
      <c r="C76" s="1340"/>
      <c r="D76" s="1340"/>
      <c r="E76" s="1340"/>
      <c r="F76" s="1340"/>
      <c r="H76" s="1340"/>
      <c r="I76" s="1340"/>
      <c r="J76" s="1340"/>
      <c r="K76" s="1340"/>
      <c r="L76" s="1340"/>
      <c r="N76" s="1318"/>
      <c r="O76" s="1340"/>
      <c r="P76" s="1340"/>
      <c r="Q76" s="1340"/>
      <c r="R76" s="1340"/>
      <c r="S76" s="1340"/>
    </row>
    <row r="77" spans="1:19" ht="12.75" customHeight="1" x14ac:dyDescent="0.2">
      <c r="A77" s="1324" t="s">
        <v>678</v>
      </c>
      <c r="B77" s="1326"/>
      <c r="C77" s="1326"/>
      <c r="D77" s="1326"/>
      <c r="E77" s="1326"/>
      <c r="F77" s="1326"/>
      <c r="H77" s="1326"/>
      <c r="I77" s="1326"/>
      <c r="J77" s="1326"/>
      <c r="K77" s="1326"/>
      <c r="L77" s="1326"/>
      <c r="N77" s="1324" t="s">
        <v>678</v>
      </c>
      <c r="O77" s="1326"/>
      <c r="P77" s="1326"/>
      <c r="Q77" s="1326"/>
      <c r="R77" s="1326"/>
      <c r="S77" s="1326"/>
    </row>
    <row r="78" spans="1:19" ht="5.0999999999999996" customHeight="1" x14ac:dyDescent="0.2">
      <c r="A78" s="1320"/>
      <c r="B78" s="1326"/>
      <c r="C78" s="1326"/>
      <c r="D78" s="1326"/>
      <c r="E78" s="1326"/>
      <c r="F78" s="1326"/>
      <c r="H78" s="1326"/>
      <c r="I78" s="1326"/>
      <c r="J78" s="1326"/>
      <c r="K78" s="1326"/>
      <c r="L78" s="1326"/>
      <c r="N78" s="1320"/>
      <c r="O78" s="1326"/>
      <c r="P78" s="1326"/>
      <c r="Q78" s="1326"/>
      <c r="R78" s="1326"/>
      <c r="S78" s="1326"/>
    </row>
    <row r="79" spans="1:19" ht="12.75" customHeight="1" x14ac:dyDescent="0.2">
      <c r="A79" s="1316" t="s">
        <v>319</v>
      </c>
      <c r="B79" s="959">
        <v>98391.529999999984</v>
      </c>
      <c r="C79" s="959">
        <v>149725.99</v>
      </c>
      <c r="D79" s="959">
        <v>182373.83999999997</v>
      </c>
      <c r="E79" s="959">
        <v>168771.53</v>
      </c>
      <c r="F79" s="959">
        <f>F53*F67</f>
        <v>173834.6759</v>
      </c>
      <c r="H79" s="959">
        <f t="shared" ref="H79:H87" si="39">IFERROR(B79-O79,"")</f>
        <v>0</v>
      </c>
      <c r="I79" s="959">
        <f t="shared" ref="I79:I87" si="40">IFERROR(C79-P79,"")</f>
        <v>0</v>
      </c>
      <c r="J79" s="959">
        <f t="shared" ref="J79:J87" si="41">IFERROR(D79-Q79,"")</f>
        <v>0</v>
      </c>
      <c r="K79" s="959">
        <f t="shared" ref="K79:K87" si="42">IFERROR(E79-R79,"")</f>
        <v>-19627.47</v>
      </c>
      <c r="L79" s="959">
        <f t="shared" ref="L79:L87" si="43">IFERROR(F79-S79,"")</f>
        <v>-20216.294100000028</v>
      </c>
      <c r="N79" s="1316" t="s">
        <v>319</v>
      </c>
      <c r="O79" s="959">
        <v>98391.529999999984</v>
      </c>
      <c r="P79" s="959">
        <v>149725.99</v>
      </c>
      <c r="Q79" s="959">
        <v>182373.83999999997</v>
      </c>
      <c r="R79" s="959">
        <v>188399</v>
      </c>
      <c r="S79" s="959">
        <v>194050.97000000003</v>
      </c>
    </row>
    <row r="80" spans="1:19" ht="12.75" customHeight="1" x14ac:dyDescent="0.2">
      <c r="A80" s="1316" t="s">
        <v>526</v>
      </c>
      <c r="B80" s="1330">
        <v>77645.650000000009</v>
      </c>
      <c r="C80" s="1330">
        <v>113027.95999999999</v>
      </c>
      <c r="D80" s="1330">
        <v>159940.68</v>
      </c>
      <c r="E80" s="1330">
        <v>144633.78</v>
      </c>
      <c r="F80" s="1330">
        <f>F68*F54</f>
        <v>148972.79340000002</v>
      </c>
      <c r="H80" s="1330">
        <f t="shared" si="39"/>
        <v>0</v>
      </c>
      <c r="I80" s="1330">
        <f t="shared" si="40"/>
        <v>0</v>
      </c>
      <c r="J80" s="1330">
        <f t="shared" si="41"/>
        <v>0</v>
      </c>
      <c r="K80" s="1330">
        <f t="shared" si="42"/>
        <v>-20590.22</v>
      </c>
      <c r="L80" s="1330">
        <f t="shared" si="43"/>
        <v>-21207.926599999977</v>
      </c>
      <c r="N80" s="1316" t="s">
        <v>405</v>
      </c>
      <c r="O80" s="1330">
        <v>77645.650000000009</v>
      </c>
      <c r="P80" s="1330">
        <v>113027.95999999999</v>
      </c>
      <c r="Q80" s="1330">
        <v>159940.68</v>
      </c>
      <c r="R80" s="1330">
        <v>165224</v>
      </c>
      <c r="S80" s="1330">
        <v>170180.72</v>
      </c>
    </row>
    <row r="81" spans="1:19" ht="12.75" customHeight="1" x14ac:dyDescent="0.2">
      <c r="A81" s="1320" t="s">
        <v>676</v>
      </c>
      <c r="B81" s="1330">
        <v>15492.469999999998</v>
      </c>
      <c r="C81" s="1330">
        <v>17433.669999999998</v>
      </c>
      <c r="D81" s="1330">
        <v>17855.84</v>
      </c>
      <c r="E81" s="1330">
        <v>17692.330000000002</v>
      </c>
      <c r="F81" s="1330">
        <f>F69*F55</f>
        <v>0</v>
      </c>
      <c r="H81" s="1330">
        <f t="shared" si="39"/>
        <v>0</v>
      </c>
      <c r="I81" s="1330">
        <f t="shared" si="40"/>
        <v>0</v>
      </c>
      <c r="J81" s="1330">
        <f t="shared" si="41"/>
        <v>0</v>
      </c>
      <c r="K81" s="1330">
        <f t="shared" si="42"/>
        <v>-753.66999999999825</v>
      </c>
      <c r="L81" s="1330">
        <f t="shared" si="43"/>
        <v>0</v>
      </c>
      <c r="N81" s="1320" t="s">
        <v>676</v>
      </c>
      <c r="O81" s="1330">
        <v>15492.469999999998</v>
      </c>
      <c r="P81" s="1330">
        <v>17433.669999999998</v>
      </c>
      <c r="Q81" s="1330">
        <v>17855.84</v>
      </c>
      <c r="R81" s="1330">
        <v>18446</v>
      </c>
      <c r="S81" s="1330">
        <v>0</v>
      </c>
    </row>
    <row r="82" spans="1:19" ht="12.75" customHeight="1" x14ac:dyDescent="0.2">
      <c r="A82" s="1316" t="s">
        <v>666</v>
      </c>
      <c r="B82" s="1330">
        <v>10968.879999999997</v>
      </c>
      <c r="C82" s="1330">
        <v>9578.26</v>
      </c>
      <c r="D82" s="1330">
        <v>11745.81</v>
      </c>
      <c r="E82" s="1330">
        <v>22522.51</v>
      </c>
      <c r="F82" s="1330">
        <f>F70*F56</f>
        <v>23198.185299999997</v>
      </c>
      <c r="H82" s="1330">
        <f t="shared" si="39"/>
        <v>0</v>
      </c>
      <c r="I82" s="1330">
        <f t="shared" si="40"/>
        <v>0</v>
      </c>
      <c r="J82" s="1330">
        <f t="shared" si="41"/>
        <v>0</v>
      </c>
      <c r="K82" s="1330">
        <f t="shared" si="42"/>
        <v>10389.509999999998</v>
      </c>
      <c r="L82" s="1330">
        <f t="shared" si="43"/>
        <v>10701.195299999998</v>
      </c>
      <c r="N82" s="1316" t="s">
        <v>410</v>
      </c>
      <c r="O82" s="1330">
        <v>10968.879999999997</v>
      </c>
      <c r="P82" s="1330">
        <v>9578.26</v>
      </c>
      <c r="Q82" s="1330">
        <v>11745.81</v>
      </c>
      <c r="R82" s="1330">
        <v>12133</v>
      </c>
      <c r="S82" s="1330">
        <v>12496.99</v>
      </c>
    </row>
    <row r="83" spans="1:19" ht="12.75" customHeight="1" x14ac:dyDescent="0.2">
      <c r="A83" s="1316" t="s">
        <v>532</v>
      </c>
      <c r="B83" s="1330">
        <v>3209.49</v>
      </c>
      <c r="C83" s="1330">
        <v>3246.45</v>
      </c>
      <c r="D83" s="1330">
        <v>5984.5199999999995</v>
      </c>
      <c r="E83" s="1330">
        <v>8660.5300000000007</v>
      </c>
      <c r="F83" s="1330">
        <f>F71*F57</f>
        <v>8920.3459000000021</v>
      </c>
      <c r="H83" s="1330">
        <f t="shared" si="39"/>
        <v>0</v>
      </c>
      <c r="I83" s="1330">
        <f t="shared" si="40"/>
        <v>0</v>
      </c>
      <c r="J83" s="1330">
        <f t="shared" si="41"/>
        <v>0</v>
      </c>
      <c r="K83" s="1330">
        <f t="shared" si="42"/>
        <v>2479.5300000000007</v>
      </c>
      <c r="L83" s="1330">
        <f t="shared" si="43"/>
        <v>2553.9159000000027</v>
      </c>
      <c r="N83" s="1316" t="s">
        <v>532</v>
      </c>
      <c r="O83" s="1330">
        <v>3209.49</v>
      </c>
      <c r="P83" s="1330">
        <v>3246.45</v>
      </c>
      <c r="Q83" s="1330">
        <v>5984.5199999999995</v>
      </c>
      <c r="R83" s="1330">
        <v>6181</v>
      </c>
      <c r="S83" s="1330">
        <v>6366.4299999999994</v>
      </c>
    </row>
    <row r="84" spans="1:19" ht="12.75" customHeight="1" x14ac:dyDescent="0.2">
      <c r="A84" s="1316" t="s">
        <v>317</v>
      </c>
      <c r="B84" s="1330">
        <v>2919.4</v>
      </c>
      <c r="C84" s="1330">
        <v>3337.41</v>
      </c>
      <c r="D84" s="1330">
        <v>3845.26</v>
      </c>
      <c r="E84" s="1330">
        <v>3736.96</v>
      </c>
      <c r="F84" s="1330">
        <f t="shared" ref="F84:F87" si="44">F72*F58</f>
        <v>3849.0688</v>
      </c>
      <c r="H84" s="1330">
        <f t="shared" si="39"/>
        <v>0</v>
      </c>
      <c r="I84" s="1330">
        <f t="shared" si="40"/>
        <v>0</v>
      </c>
      <c r="J84" s="1330">
        <f t="shared" si="41"/>
        <v>0</v>
      </c>
      <c r="K84" s="1330">
        <f t="shared" si="42"/>
        <v>-235.03999999999996</v>
      </c>
      <c r="L84" s="1330">
        <f t="shared" si="43"/>
        <v>-242.09119999999939</v>
      </c>
      <c r="N84" s="1316" t="s">
        <v>317</v>
      </c>
      <c r="O84" s="1330">
        <v>2919.4</v>
      </c>
      <c r="P84" s="1330">
        <v>3337.41</v>
      </c>
      <c r="Q84" s="1330">
        <v>3845.26</v>
      </c>
      <c r="R84" s="1330">
        <v>3972</v>
      </c>
      <c r="S84" s="1330">
        <v>4091.1599999999994</v>
      </c>
    </row>
    <row r="85" spans="1:19" ht="12.75" customHeight="1" x14ac:dyDescent="0.2">
      <c r="A85" s="1316" t="s">
        <v>669</v>
      </c>
      <c r="B85" s="1020">
        <v>0</v>
      </c>
      <c r="C85" s="1020">
        <v>0</v>
      </c>
      <c r="D85" s="1020">
        <v>0</v>
      </c>
      <c r="E85" s="1330">
        <v>0</v>
      </c>
      <c r="F85" s="1330">
        <f>F73*F59</f>
        <v>18223.099900000005</v>
      </c>
      <c r="H85" s="1020">
        <f t="shared" si="39"/>
        <v>0</v>
      </c>
      <c r="I85" s="1020">
        <f t="shared" si="40"/>
        <v>0</v>
      </c>
      <c r="J85" s="1020">
        <f t="shared" si="41"/>
        <v>0</v>
      </c>
      <c r="K85" s="1330">
        <f t="shared" si="42"/>
        <v>0</v>
      </c>
      <c r="L85" s="1330">
        <f t="shared" si="43"/>
        <v>-776.28009999999631</v>
      </c>
      <c r="N85" s="1316" t="s">
        <v>669</v>
      </c>
      <c r="O85" s="1020">
        <v>0</v>
      </c>
      <c r="P85" s="1020">
        <v>0</v>
      </c>
      <c r="Q85" s="1020">
        <v>0</v>
      </c>
      <c r="R85" s="1330">
        <v>0</v>
      </c>
      <c r="S85" s="1330">
        <v>18999.38</v>
      </c>
    </row>
    <row r="86" spans="1:19" ht="12.75" customHeight="1" x14ac:dyDescent="0.2">
      <c r="A86" s="1316" t="s">
        <v>670</v>
      </c>
      <c r="B86" s="1330">
        <v>1389.6</v>
      </c>
      <c r="C86" s="1330">
        <v>1764.65</v>
      </c>
      <c r="D86" s="1330">
        <v>2412.1799999999998</v>
      </c>
      <c r="E86" s="1330">
        <v>2891.71</v>
      </c>
      <c r="F86" s="1330">
        <f t="shared" si="44"/>
        <v>2978.4612999999999</v>
      </c>
      <c r="H86" s="1330">
        <f t="shared" si="39"/>
        <v>0</v>
      </c>
      <c r="I86" s="1330">
        <f t="shared" si="40"/>
        <v>0</v>
      </c>
      <c r="J86" s="1330">
        <f t="shared" si="41"/>
        <v>0</v>
      </c>
      <c r="K86" s="1330">
        <f t="shared" si="42"/>
        <v>399.71000000000004</v>
      </c>
      <c r="L86" s="1330">
        <f t="shared" si="43"/>
        <v>411.70129999999972</v>
      </c>
      <c r="N86" s="1316" t="s">
        <v>670</v>
      </c>
      <c r="O86" s="1330">
        <v>1389.6</v>
      </c>
      <c r="P86" s="1330">
        <v>1764.65</v>
      </c>
      <c r="Q86" s="1330">
        <v>2412.1799999999998</v>
      </c>
      <c r="R86" s="1330">
        <v>2492</v>
      </c>
      <c r="S86" s="1330">
        <v>2566.7600000000002</v>
      </c>
    </row>
    <row r="87" spans="1:19" ht="12.75" customHeight="1" x14ac:dyDescent="0.2">
      <c r="A87" s="1341" t="s">
        <v>201</v>
      </c>
      <c r="B87" s="1342">
        <v>25908.639999999996</v>
      </c>
      <c r="C87" s="1342">
        <v>27416.06</v>
      </c>
      <c r="D87" s="1342">
        <v>26011.379999999997</v>
      </c>
      <c r="E87" s="1342">
        <v>21905.15</v>
      </c>
      <c r="F87" s="1342">
        <f t="shared" si="44"/>
        <v>22562.304500000002</v>
      </c>
      <c r="H87" s="1342">
        <f t="shared" si="39"/>
        <v>0</v>
      </c>
      <c r="I87" s="1342">
        <f t="shared" si="40"/>
        <v>0</v>
      </c>
      <c r="J87" s="1342">
        <f t="shared" si="41"/>
        <v>0</v>
      </c>
      <c r="K87" s="1342">
        <f t="shared" si="42"/>
        <v>-4964.8499999999985</v>
      </c>
      <c r="L87" s="1342">
        <f t="shared" si="43"/>
        <v>-5113.7954999999965</v>
      </c>
      <c r="N87" s="1341" t="s">
        <v>201</v>
      </c>
      <c r="O87" s="1342">
        <v>25908.639999999996</v>
      </c>
      <c r="P87" s="1342">
        <v>27416.06</v>
      </c>
      <c r="Q87" s="1342">
        <v>26011.379999999997</v>
      </c>
      <c r="R87" s="1342">
        <v>26870</v>
      </c>
      <c r="S87" s="1342">
        <v>27676.1</v>
      </c>
    </row>
    <row r="88" spans="1:19" ht="5.0999999999999996" customHeight="1" x14ac:dyDescent="0.2">
      <c r="A88" s="1318"/>
      <c r="B88" s="1331"/>
      <c r="C88" s="1331"/>
      <c r="D88" s="1331"/>
      <c r="E88" s="1331"/>
      <c r="F88" s="1331"/>
      <c r="H88" s="1331"/>
      <c r="I88" s="1331"/>
      <c r="J88" s="1331"/>
      <c r="K88" s="1331"/>
      <c r="L88" s="1331"/>
      <c r="N88" s="1318"/>
      <c r="O88" s="1331"/>
      <c r="P88" s="1331"/>
      <c r="Q88" s="1331"/>
      <c r="R88" s="1331"/>
      <c r="S88" s="1331"/>
    </row>
    <row r="89" spans="1:19" x14ac:dyDescent="0.2">
      <c r="A89" s="1332" t="s">
        <v>679</v>
      </c>
      <c r="B89" s="77">
        <f t="shared" ref="B89:F89" si="45">SUM(B79:B87)</f>
        <v>235925.65999999997</v>
      </c>
      <c r="C89" s="77">
        <f t="shared" si="45"/>
        <v>325530.44999999995</v>
      </c>
      <c r="D89" s="77">
        <f t="shared" si="45"/>
        <v>410169.51</v>
      </c>
      <c r="E89" s="77">
        <f t="shared" si="45"/>
        <v>390814.50000000012</v>
      </c>
      <c r="F89" s="77">
        <f t="shared" si="45"/>
        <v>402538.93500000011</v>
      </c>
      <c r="H89" s="77">
        <f>IFERROR(B89-O89,"")</f>
        <v>0</v>
      </c>
      <c r="I89" s="77">
        <f>IFERROR(C89-P89,"")</f>
        <v>0</v>
      </c>
      <c r="J89" s="77">
        <f>IFERROR(D89-Q89,"")</f>
        <v>0</v>
      </c>
      <c r="K89" s="77">
        <f>IFERROR(E89-R89,"")</f>
        <v>-32902.499999999884</v>
      </c>
      <c r="L89" s="77">
        <f>IFERROR(F89-S89,"")</f>
        <v>-33889.574999999895</v>
      </c>
      <c r="N89" s="1332" t="s">
        <v>679</v>
      </c>
      <c r="O89" s="77">
        <v>235925.65999999997</v>
      </c>
      <c r="P89" s="77">
        <v>325530.44999999995</v>
      </c>
      <c r="Q89" s="77">
        <v>410169.51</v>
      </c>
      <c r="R89" s="77">
        <v>423717</v>
      </c>
      <c r="S89" s="77">
        <v>436428.51</v>
      </c>
    </row>
    <row r="90" spans="1:19" ht="5.0999999999999996" customHeight="1" x14ac:dyDescent="0.2">
      <c r="A90" s="1336"/>
      <c r="B90" s="1336"/>
      <c r="C90" s="1336"/>
      <c r="D90" s="1336"/>
      <c r="E90" s="1336"/>
      <c r="F90" s="1336"/>
      <c r="H90" s="1343"/>
      <c r="I90" s="1343"/>
      <c r="J90" s="1343"/>
      <c r="K90" s="1343"/>
      <c r="L90" s="1343"/>
      <c r="N90" s="1344"/>
      <c r="O90" s="1343"/>
      <c r="P90" s="1343"/>
      <c r="Q90" s="1343"/>
      <c r="R90" s="1343"/>
      <c r="S90" s="1343"/>
    </row>
    <row r="91" spans="1:19" x14ac:dyDescent="0.2">
      <c r="A91" s="1324" t="s">
        <v>680</v>
      </c>
      <c r="B91" s="1326"/>
      <c r="C91" s="1326"/>
      <c r="D91" s="1326"/>
      <c r="E91" s="1326"/>
      <c r="F91" s="1326"/>
      <c r="H91" s="1326"/>
      <c r="I91" s="1326"/>
      <c r="J91" s="1326"/>
      <c r="K91" s="1326"/>
      <c r="L91" s="1326"/>
      <c r="N91" s="1324" t="s">
        <v>680</v>
      </c>
      <c r="O91" s="1326"/>
      <c r="P91" s="1326"/>
      <c r="Q91" s="1326"/>
      <c r="R91" s="1326"/>
      <c r="S91" s="1326"/>
    </row>
    <row r="92" spans="1:19" ht="5.0999999999999996" customHeight="1" x14ac:dyDescent="0.2">
      <c r="A92" s="1317"/>
      <c r="B92" s="1326"/>
      <c r="C92" s="1326"/>
      <c r="D92" s="1326"/>
      <c r="E92" s="1326"/>
      <c r="F92" s="1326"/>
      <c r="H92" s="1326"/>
      <c r="I92" s="1326"/>
      <c r="J92" s="1326"/>
      <c r="K92" s="1326"/>
      <c r="L92" s="1326"/>
      <c r="N92" s="1317"/>
      <c r="O92" s="1326"/>
      <c r="P92" s="1326"/>
      <c r="Q92" s="1326"/>
      <c r="R92" s="1326"/>
      <c r="S92" s="1326"/>
    </row>
    <row r="93" spans="1:19" x14ac:dyDescent="0.2">
      <c r="A93" s="1316" t="s">
        <v>523</v>
      </c>
      <c r="B93" s="959">
        <v>3236.51</v>
      </c>
      <c r="C93" s="959">
        <v>2167.4499999999998</v>
      </c>
      <c r="D93" s="959">
        <v>2065.41</v>
      </c>
      <c r="E93" s="959">
        <v>1610.98</v>
      </c>
      <c r="F93" s="959">
        <f>E93*(1+$F$4)</f>
        <v>1659.3094000000001</v>
      </c>
      <c r="H93" s="959">
        <f t="shared" ref="H93:L95" si="46">IFERROR(B93-O93,"")</f>
        <v>0</v>
      </c>
      <c r="I93" s="959">
        <f t="shared" si="46"/>
        <v>0</v>
      </c>
      <c r="J93" s="959">
        <f t="shared" si="46"/>
        <v>0</v>
      </c>
      <c r="K93" s="959">
        <f t="shared" si="46"/>
        <v>-522.02</v>
      </c>
      <c r="L93" s="959">
        <f t="shared" si="46"/>
        <v>-537.68060000000014</v>
      </c>
      <c r="N93" s="1316" t="s">
        <v>523</v>
      </c>
      <c r="O93" s="959">
        <v>3236.51</v>
      </c>
      <c r="P93" s="959">
        <v>2167.4499999999998</v>
      </c>
      <c r="Q93" s="959">
        <v>2065.41</v>
      </c>
      <c r="R93" s="959">
        <v>2133</v>
      </c>
      <c r="S93" s="959">
        <v>2196.9900000000002</v>
      </c>
    </row>
    <row r="94" spans="1:19" x14ac:dyDescent="0.2">
      <c r="A94" s="1316" t="s">
        <v>317</v>
      </c>
      <c r="B94" s="800">
        <v>2049.8000000000002</v>
      </c>
      <c r="C94" s="800">
        <v>1127.22</v>
      </c>
      <c r="D94" s="800">
        <v>1185.4899999999998</v>
      </c>
      <c r="E94" s="800">
        <v>971.9</v>
      </c>
      <c r="F94" s="800">
        <f>E94*(1+$F$4)</f>
        <v>1001.057</v>
      </c>
      <c r="H94" s="800">
        <f t="shared" si="46"/>
        <v>0</v>
      </c>
      <c r="I94" s="800">
        <f t="shared" si="46"/>
        <v>0</v>
      </c>
      <c r="J94" s="800">
        <f t="shared" si="46"/>
        <v>0</v>
      </c>
      <c r="K94" s="800">
        <f t="shared" si="46"/>
        <v>-253.10000000000002</v>
      </c>
      <c r="L94" s="800">
        <f t="shared" si="46"/>
        <v>-260.69299999999998</v>
      </c>
      <c r="N94" s="1316" t="s">
        <v>317</v>
      </c>
      <c r="O94" s="800">
        <v>2049.8000000000002</v>
      </c>
      <c r="P94" s="800">
        <v>1127.22</v>
      </c>
      <c r="Q94" s="800">
        <v>1185.4899999999998</v>
      </c>
      <c r="R94" s="800">
        <v>1225</v>
      </c>
      <c r="S94" s="800">
        <v>1261.75</v>
      </c>
    </row>
    <row r="95" spans="1:19" hidden="1" x14ac:dyDescent="0.2">
      <c r="A95" s="1316" t="s">
        <v>532</v>
      </c>
      <c r="B95" s="960">
        <v>0</v>
      </c>
      <c r="C95" s="960">
        <v>0</v>
      </c>
      <c r="D95" s="960"/>
      <c r="E95" s="960">
        <v>0</v>
      </c>
      <c r="F95" s="960">
        <v>0</v>
      </c>
      <c r="H95" s="960">
        <f t="shared" si="46"/>
        <v>0</v>
      </c>
      <c r="I95" s="960">
        <f t="shared" si="46"/>
        <v>0</v>
      </c>
      <c r="J95" s="960">
        <f t="shared" si="46"/>
        <v>0</v>
      </c>
      <c r="K95" s="960">
        <f t="shared" si="46"/>
        <v>0</v>
      </c>
      <c r="L95" s="960">
        <f t="shared" si="46"/>
        <v>0</v>
      </c>
      <c r="N95" s="1316" t="s">
        <v>532</v>
      </c>
      <c r="O95" s="960">
        <v>0</v>
      </c>
      <c r="P95" s="960">
        <v>0</v>
      </c>
      <c r="Q95" s="960"/>
      <c r="R95" s="960">
        <v>0</v>
      </c>
      <c r="S95" s="960">
        <v>0</v>
      </c>
    </row>
    <row r="96" spans="1:19" ht="5.0999999999999996" customHeight="1" x14ac:dyDescent="0.2">
      <c r="A96" s="1318"/>
      <c r="B96" s="1323"/>
      <c r="C96" s="1323"/>
      <c r="D96" s="1323"/>
      <c r="E96" s="1323"/>
      <c r="F96" s="1323"/>
      <c r="H96" s="1323"/>
      <c r="I96" s="1323"/>
      <c r="J96" s="1323"/>
      <c r="K96" s="1323"/>
      <c r="L96" s="1323"/>
      <c r="N96" s="1318"/>
      <c r="O96" s="1323"/>
      <c r="P96" s="1323"/>
      <c r="Q96" s="1323"/>
      <c r="R96" s="1323"/>
      <c r="S96" s="1323"/>
    </row>
    <row r="97" spans="1:19" x14ac:dyDescent="0.2">
      <c r="A97" s="1312" t="s">
        <v>681</v>
      </c>
      <c r="B97" s="77">
        <f t="shared" ref="B97:D97" si="47">SUM(B93:B95)</f>
        <v>5286.31</v>
      </c>
      <c r="C97" s="77">
        <f t="shared" si="47"/>
        <v>3294.67</v>
      </c>
      <c r="D97" s="77">
        <f t="shared" si="47"/>
        <v>3250.8999999999996</v>
      </c>
      <c r="E97" s="77">
        <f>SUM(E93:E95)</f>
        <v>2582.88</v>
      </c>
      <c r="F97" s="77">
        <f>SUM(F93:F95)</f>
        <v>2660.3663999999999</v>
      </c>
      <c r="H97" s="77">
        <f>IFERROR(B97-O97,"")</f>
        <v>0</v>
      </c>
      <c r="I97" s="77">
        <f>IFERROR(C97-P97,"")</f>
        <v>0</v>
      </c>
      <c r="J97" s="77">
        <f>IFERROR(D97-Q97,"")</f>
        <v>0</v>
      </c>
      <c r="K97" s="77">
        <f>IFERROR(E97-R97,"")</f>
        <v>-775.11999999999989</v>
      </c>
      <c r="L97" s="77">
        <f>IFERROR(F97-S97,"")</f>
        <v>-798.37360000000035</v>
      </c>
      <c r="N97" s="1312" t="s">
        <v>681</v>
      </c>
      <c r="O97" s="77">
        <v>5286.31</v>
      </c>
      <c r="P97" s="77">
        <v>3294.67</v>
      </c>
      <c r="Q97" s="77">
        <v>3250.8999999999996</v>
      </c>
      <c r="R97" s="77">
        <v>3358</v>
      </c>
      <c r="S97" s="77">
        <v>3458.7400000000002</v>
      </c>
    </row>
    <row r="98" spans="1:19" ht="5.0999999999999996" customHeight="1" x14ac:dyDescent="0.2">
      <c r="A98" s="1318"/>
      <c r="B98" s="1217"/>
      <c r="C98" s="1217"/>
      <c r="D98" s="1217"/>
      <c r="E98" s="1323"/>
      <c r="F98" s="1323"/>
      <c r="H98" s="1217"/>
      <c r="I98" s="1217"/>
      <c r="J98" s="1217"/>
      <c r="K98" s="1323"/>
      <c r="L98" s="1323"/>
      <c r="N98" s="1318"/>
      <c r="O98" s="1217"/>
      <c r="P98" s="1217"/>
      <c r="Q98" s="1217"/>
      <c r="R98" s="1323"/>
      <c r="S98" s="1323"/>
    </row>
    <row r="99" spans="1:19" x14ac:dyDescent="0.2">
      <c r="A99" s="1345" t="s">
        <v>682</v>
      </c>
      <c r="B99" s="1259">
        <f t="shared" ref="B99:F99" si="48">+B49+B89+B97</f>
        <v>1273435.6100000001</v>
      </c>
      <c r="C99" s="1259">
        <f t="shared" si="48"/>
        <v>1463049.8</v>
      </c>
      <c r="D99" s="1259">
        <f t="shared" si="48"/>
        <v>1591485.3899999997</v>
      </c>
      <c r="E99" s="1259">
        <f t="shared" si="48"/>
        <v>1574405.81</v>
      </c>
      <c r="F99" s="1259">
        <f t="shared" si="48"/>
        <v>2015381.9842999999</v>
      </c>
      <c r="H99" s="1259">
        <f>IFERROR(B99-O99,"")</f>
        <v>0</v>
      </c>
      <c r="I99" s="1259">
        <f>IFERROR(C99-P99,"")</f>
        <v>0</v>
      </c>
      <c r="J99" s="1259">
        <f>IFERROR(D99-Q99,"")</f>
        <v>0</v>
      </c>
      <c r="K99" s="1259">
        <f>IFERROR(E99-R99,"")</f>
        <v>-69654.189999999944</v>
      </c>
      <c r="L99" s="1259">
        <f>IFERROR(F99-S99,"")</f>
        <v>-71743.815700000152</v>
      </c>
      <c r="N99" s="1345" t="s">
        <v>682</v>
      </c>
      <c r="O99" s="1259">
        <v>1273435.6100000001</v>
      </c>
      <c r="P99" s="1259">
        <v>1463049.8</v>
      </c>
      <c r="Q99" s="1259">
        <v>1591485.3899999997</v>
      </c>
      <c r="R99" s="1259">
        <v>1644060</v>
      </c>
      <c r="S99" s="1259">
        <v>2087125.8</v>
      </c>
    </row>
    <row r="100" spans="1:19" x14ac:dyDescent="0.2">
      <c r="A100" s="744"/>
      <c r="B100" s="744"/>
      <c r="C100" s="744"/>
      <c r="D100" s="744"/>
      <c r="E100" s="744"/>
      <c r="F100" s="744"/>
    </row>
  </sheetData>
  <mergeCells count="5">
    <mergeCell ref="H3:L4"/>
    <mergeCell ref="N3:S4"/>
    <mergeCell ref="B5:D5"/>
    <mergeCell ref="H5:J5"/>
    <mergeCell ref="O5:Q5"/>
  </mergeCells>
  <pageMargins left="1" right="0.75" top="0.75" bottom="0.5" header="0.5" footer="0.5"/>
  <pageSetup scale="81" orientation="landscape" r:id="rId1"/>
  <headerFooter>
    <oddFooter>&amp;L&amp;KFF0000Final Rate Application&amp;CPage &amp;P of &amp;N&amp;R02/10/2017</oddFooter>
  </headerFooter>
  <rowBreaks count="1" manualBreakCount="1">
    <brk id="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1"/>
  <sheetViews>
    <sheetView topLeftCell="A2" zoomScaleNormal="100" workbookViewId="0">
      <selection activeCell="B39" sqref="B39"/>
    </sheetView>
  </sheetViews>
  <sheetFormatPr defaultRowHeight="12.75" x14ac:dyDescent="0.2"/>
  <cols>
    <col min="1" max="1" width="52.42578125" style="28" customWidth="1"/>
    <col min="2" max="2" width="20.140625" style="28" customWidth="1"/>
    <col min="3" max="3" width="1.42578125" style="29" customWidth="1"/>
    <col min="4" max="4" width="19.7109375" style="29" customWidth="1"/>
    <col min="5" max="5" width="18.85546875" style="28" customWidth="1"/>
    <col min="6" max="16384" width="9.140625" style="28"/>
  </cols>
  <sheetData>
    <row r="1" spans="1:9" hidden="1" x14ac:dyDescent="0.2">
      <c r="B1" s="28">
        <v>1</v>
      </c>
    </row>
    <row r="2" spans="1:9" ht="15" x14ac:dyDescent="0.25">
      <c r="A2" s="15" t="s">
        <v>0</v>
      </c>
    </row>
    <row r="3" spans="1:9" ht="15" x14ac:dyDescent="0.25">
      <c r="A3" s="16" t="s">
        <v>72</v>
      </c>
      <c r="B3" s="30"/>
      <c r="C3" s="30"/>
    </row>
    <row r="4" spans="1:9" ht="15" x14ac:dyDescent="0.25">
      <c r="A4" s="17" t="s">
        <v>73</v>
      </c>
      <c r="B4" s="31"/>
      <c r="C4" s="32"/>
    </row>
    <row r="5" spans="1:9" ht="15" x14ac:dyDescent="0.25">
      <c r="A5" s="33"/>
      <c r="B5" s="34"/>
      <c r="C5" s="34"/>
      <c r="E5" s="35"/>
    </row>
    <row r="6" spans="1:9" ht="7.5" customHeight="1" x14ac:dyDescent="0.2">
      <c r="A6" s="36"/>
      <c r="E6" s="37"/>
      <c r="F6" s="37"/>
      <c r="G6" s="37"/>
      <c r="H6" s="37"/>
      <c r="I6" s="37"/>
    </row>
    <row r="7" spans="1:9" ht="42" customHeight="1" x14ac:dyDescent="0.2">
      <c r="A7" s="38"/>
      <c r="B7" s="39" t="s">
        <v>69</v>
      </c>
      <c r="C7" s="40"/>
      <c r="D7" s="41" t="s">
        <v>74</v>
      </c>
      <c r="E7" s="42" t="s">
        <v>75</v>
      </c>
      <c r="F7" s="37"/>
      <c r="G7" s="37"/>
      <c r="H7" s="37"/>
      <c r="I7" s="37"/>
    </row>
    <row r="8" spans="1:9" ht="12.75" customHeight="1" x14ac:dyDescent="0.2">
      <c r="A8" s="43" t="s">
        <v>76</v>
      </c>
      <c r="B8" s="44">
        <f>+D!G54</f>
        <v>128124827.99352406</v>
      </c>
      <c r="C8" s="45"/>
      <c r="D8" s="44">
        <f>IFERROR(B8-E8,"")</f>
        <v>475240.91539601982</v>
      </c>
      <c r="E8" s="44">
        <v>127649587.07812804</v>
      </c>
    </row>
    <row r="9" spans="1:9" ht="9.75" customHeight="1" x14ac:dyDescent="0.2">
      <c r="A9" s="46"/>
      <c r="B9" s="47"/>
      <c r="C9" s="48"/>
      <c r="D9" s="47"/>
      <c r="E9" s="47"/>
    </row>
    <row r="10" spans="1:9" x14ac:dyDescent="0.2">
      <c r="A10" s="49" t="s">
        <v>77</v>
      </c>
      <c r="B10" s="50">
        <f>+B9+B8</f>
        <v>128124827.99352406</v>
      </c>
      <c r="C10" s="51"/>
      <c r="D10" s="50">
        <f>IFERROR(B10-E10,"")</f>
        <v>475240.91539601982</v>
      </c>
      <c r="E10" s="50">
        <v>127649587.07812804</v>
      </c>
    </row>
    <row r="11" spans="1:9" ht="11.25" customHeight="1" x14ac:dyDescent="0.2">
      <c r="A11" s="52"/>
      <c r="B11" s="53"/>
      <c r="C11" s="52"/>
      <c r="D11" s="53"/>
      <c r="E11" s="53"/>
    </row>
    <row r="12" spans="1:9" ht="18" customHeight="1" x14ac:dyDescent="0.2">
      <c r="A12" s="54" t="s">
        <v>78</v>
      </c>
      <c r="B12" s="55">
        <v>0.91</v>
      </c>
      <c r="C12" s="56"/>
      <c r="D12" s="55">
        <f>IFERROR(B12-E12,"")</f>
        <v>0</v>
      </c>
      <c r="E12" s="55">
        <v>0.91</v>
      </c>
    </row>
    <row r="13" spans="1:9" ht="8.25" customHeight="1" x14ac:dyDescent="0.2">
      <c r="A13" s="57"/>
      <c r="B13" s="53"/>
      <c r="C13" s="52"/>
      <c r="D13" s="53"/>
      <c r="E13" s="53"/>
    </row>
    <row r="14" spans="1:9" x14ac:dyDescent="0.2">
      <c r="A14" s="58" t="s">
        <v>79</v>
      </c>
      <c r="B14" s="59">
        <f>+B10/B12</f>
        <v>140796514.27859786</v>
      </c>
      <c r="C14" s="60"/>
      <c r="D14" s="59">
        <f>IFERROR(B14-E14,"")</f>
        <v>522242.76417145133</v>
      </c>
      <c r="E14" s="59">
        <v>140274271.51442641</v>
      </c>
    </row>
    <row r="15" spans="1:9" ht="8.25" customHeight="1" x14ac:dyDescent="0.2">
      <c r="A15" s="58"/>
      <c r="B15" s="61"/>
      <c r="C15" s="62"/>
      <c r="D15" s="61"/>
      <c r="E15" s="61"/>
    </row>
    <row r="16" spans="1:9" hidden="1" x14ac:dyDescent="0.2">
      <c r="A16" s="63" t="s">
        <v>80</v>
      </c>
      <c r="B16" s="50">
        <v>0</v>
      </c>
      <c r="C16" s="51"/>
      <c r="D16" s="50"/>
      <c r="E16" s="50">
        <v>0</v>
      </c>
    </row>
    <row r="17" spans="1:5" hidden="1" x14ac:dyDescent="0.2">
      <c r="A17" s="52"/>
      <c r="B17" s="64"/>
      <c r="C17" s="65"/>
      <c r="D17" s="64"/>
      <c r="E17" s="64"/>
    </row>
    <row r="18" spans="1:5" x14ac:dyDescent="0.2">
      <c r="A18" s="66" t="s">
        <v>81</v>
      </c>
      <c r="B18" s="67"/>
      <c r="C18" s="65"/>
      <c r="D18" s="67"/>
      <c r="E18" s="67"/>
    </row>
    <row r="19" spans="1:5" x14ac:dyDescent="0.2">
      <c r="A19" s="68" t="s">
        <v>82</v>
      </c>
      <c r="B19" s="69">
        <f>-D!G52</f>
        <v>12413394.645460915</v>
      </c>
      <c r="C19" s="70"/>
      <c r="D19" s="69">
        <f>IFERROR(B19-E19,"")</f>
        <v>-312183.68969544396</v>
      </c>
      <c r="E19" s="69">
        <v>12725578.335156359</v>
      </c>
    </row>
    <row r="20" spans="1:5" x14ac:dyDescent="0.2">
      <c r="A20" s="68" t="s">
        <v>83</v>
      </c>
      <c r="B20" s="69">
        <f>-D!G51</f>
        <v>3406888.7733333334</v>
      </c>
      <c r="C20" s="70"/>
      <c r="D20" s="69">
        <f>IFERROR(B20-E20,"")</f>
        <v>0</v>
      </c>
      <c r="E20" s="69">
        <v>3406888.7733333334</v>
      </c>
    </row>
    <row r="21" spans="1:5" ht="15.75" customHeight="1" x14ac:dyDescent="0.2">
      <c r="A21" s="46"/>
      <c r="B21" s="64"/>
      <c r="C21" s="65"/>
      <c r="D21" s="64"/>
      <c r="E21" s="64"/>
    </row>
    <row r="22" spans="1:5" x14ac:dyDescent="0.2">
      <c r="A22" s="71" t="s">
        <v>84</v>
      </c>
      <c r="B22" s="64"/>
      <c r="C22" s="65"/>
      <c r="D22" s="64"/>
      <c r="E22" s="64"/>
    </row>
    <row r="23" spans="1:5" x14ac:dyDescent="0.2">
      <c r="A23" s="72" t="s">
        <v>85</v>
      </c>
      <c r="B23" s="69">
        <f>-F.4!F13</f>
        <v>-2339558.4648666661</v>
      </c>
      <c r="C23" s="70"/>
      <c r="D23" s="69">
        <f>IFERROR(B23-E23,"")</f>
        <v>0</v>
      </c>
      <c r="E23" s="69">
        <v>-2339558.4648666661</v>
      </c>
    </row>
    <row r="24" spans="1:5" x14ac:dyDescent="0.2">
      <c r="A24" s="72" t="s">
        <v>86</v>
      </c>
      <c r="B24" s="69">
        <f>-F.3!$F$87</f>
        <v>-20694476.511903375</v>
      </c>
      <c r="C24" s="70"/>
      <c r="D24" s="69">
        <f>IFERROR(B24-E24,"")</f>
        <v>-609784.69854423776</v>
      </c>
      <c r="E24" s="69">
        <v>-20084691.813359138</v>
      </c>
    </row>
    <row r="25" spans="1:5" x14ac:dyDescent="0.2">
      <c r="A25" s="73" t="s">
        <v>87</v>
      </c>
      <c r="B25" s="69">
        <f>B37</f>
        <v>3163966.6130022109</v>
      </c>
      <c r="C25" s="70"/>
      <c r="D25" s="69">
        <f>IFERROR(B25-E25,"")</f>
        <v>11735.792453289032</v>
      </c>
      <c r="E25" s="69">
        <v>3152230.8205489218</v>
      </c>
    </row>
    <row r="26" spans="1:5" ht="5.25" customHeight="1" x14ac:dyDescent="0.2">
      <c r="A26" s="74"/>
      <c r="B26" s="75"/>
      <c r="C26" s="70"/>
      <c r="D26" s="75"/>
      <c r="E26" s="75"/>
    </row>
    <row r="27" spans="1:5" ht="15" customHeight="1" x14ac:dyDescent="0.2">
      <c r="A27" s="76" t="s">
        <v>88</v>
      </c>
      <c r="B27" s="77">
        <f>SUM(B14:B26)</f>
        <v>136746729.33362427</v>
      </c>
      <c r="C27" s="60"/>
      <c r="D27" s="77">
        <f>IFERROR(B27-E27,"")</f>
        <v>-387989.83161494136</v>
      </c>
      <c r="E27" s="77">
        <v>137134719.16523921</v>
      </c>
    </row>
    <row r="28" spans="1:5" x14ac:dyDescent="0.2">
      <c r="A28" s="78"/>
      <c r="B28" s="79"/>
      <c r="C28" s="80"/>
      <c r="D28" s="79"/>
      <c r="E28" s="79"/>
    </row>
    <row r="29" spans="1:5" x14ac:dyDescent="0.2">
      <c r="A29" s="81" t="s">
        <v>89</v>
      </c>
      <c r="B29" s="82">
        <f>ROUND((B32-B31)/B31,4)</f>
        <v>0.1885</v>
      </c>
      <c r="C29" s="83"/>
      <c r="D29" s="82">
        <f>IFERROR(B29-E29,"")</f>
        <v>-4.500000000000004E-3</v>
      </c>
      <c r="E29" s="82">
        <v>0.193</v>
      </c>
    </row>
    <row r="30" spans="1:5" ht="12" customHeight="1" x14ac:dyDescent="0.2">
      <c r="A30" s="84"/>
      <c r="B30" s="85"/>
      <c r="C30" s="86"/>
      <c r="D30" s="85"/>
      <c r="E30" s="85"/>
    </row>
    <row r="31" spans="1:5" x14ac:dyDescent="0.2">
      <c r="A31" s="87" t="s">
        <v>70</v>
      </c>
      <c r="B31" s="85">
        <v>156.62</v>
      </c>
      <c r="C31" s="86"/>
      <c r="D31" s="85">
        <f>IFERROR(B31-E31,"")</f>
        <v>0</v>
      </c>
      <c r="E31" s="85">
        <v>156.62</v>
      </c>
    </row>
    <row r="32" spans="1:5" x14ac:dyDescent="0.2">
      <c r="A32" s="88" t="s">
        <v>71</v>
      </c>
      <c r="B32" s="89">
        <f>ROUND(B27/B34,2)</f>
        <v>186.15</v>
      </c>
      <c r="C32" s="90"/>
      <c r="D32" s="89">
        <f>IFERROR(B32-E32,"")</f>
        <v>-0.69999999999998863</v>
      </c>
      <c r="E32" s="89">
        <v>186.85</v>
      </c>
    </row>
    <row r="33" spans="1:5" x14ac:dyDescent="0.2">
      <c r="A33" s="84"/>
      <c r="B33" s="91"/>
      <c r="C33" s="92"/>
      <c r="D33" s="91"/>
      <c r="E33" s="91"/>
    </row>
    <row r="34" spans="1:5" ht="16.5" customHeight="1" x14ac:dyDescent="0.2">
      <c r="A34" s="93" t="s">
        <v>90</v>
      </c>
      <c r="B34" s="94">
        <f>+F.1!F19</f>
        <v>734597.11670498073</v>
      </c>
      <c r="C34" s="95"/>
      <c r="D34" s="94">
        <f>IFERROR(B34-E34,"")</f>
        <v>653.88804597686976</v>
      </c>
      <c r="E34" s="94">
        <v>733943.22865900386</v>
      </c>
    </row>
    <row r="35" spans="1:5" x14ac:dyDescent="0.2">
      <c r="A35" s="84"/>
      <c r="B35" s="85"/>
      <c r="C35" s="86"/>
      <c r="D35" s="85"/>
      <c r="E35" s="85"/>
    </row>
    <row r="36" spans="1:5" x14ac:dyDescent="0.2">
      <c r="A36" s="96" t="s">
        <v>91</v>
      </c>
      <c r="B36" s="97">
        <v>143960480.89160007</v>
      </c>
      <c r="C36" s="98"/>
      <c r="D36" s="97">
        <f>IFERROR(B36-E36,"")</f>
        <v>533978.55662474036</v>
      </c>
      <c r="E36" s="97">
        <v>143426502.33497533</v>
      </c>
    </row>
    <row r="37" spans="1:5" x14ac:dyDescent="0.2">
      <c r="A37" s="96" t="s">
        <v>92</v>
      </c>
      <c r="B37" s="99">
        <v>3163966.6130022109</v>
      </c>
      <c r="C37" s="100"/>
      <c r="D37" s="99">
        <f>IFERROR(B37-E37,"")</f>
        <v>11735.792453289032</v>
      </c>
      <c r="E37" s="99">
        <v>3152230.8205489218</v>
      </c>
    </row>
    <row r="38" spans="1:5" x14ac:dyDescent="0.2">
      <c r="A38" s="101"/>
      <c r="B38" s="102"/>
      <c r="C38" s="103"/>
      <c r="D38" s="102"/>
      <c r="E38" s="102"/>
    </row>
    <row r="39" spans="1:5" x14ac:dyDescent="0.2">
      <c r="A39" s="104" t="s">
        <v>93</v>
      </c>
      <c r="B39" s="77">
        <f>B36+SUM(B19:B24)</f>
        <v>136746729.33362427</v>
      </c>
      <c r="C39" s="60"/>
      <c r="D39" s="77">
        <f>IFERROR(B39-E39,"")</f>
        <v>-387989.83161494136</v>
      </c>
      <c r="E39" s="77">
        <v>137134719.16523921</v>
      </c>
    </row>
    <row r="40" spans="1:5" x14ac:dyDescent="0.2">
      <c r="A40" s="105"/>
      <c r="B40" s="106"/>
      <c r="C40" s="106"/>
      <c r="D40" s="106"/>
      <c r="E40" s="106"/>
    </row>
    <row r="41" spans="1:5" x14ac:dyDescent="0.2">
      <c r="D41" s="28"/>
    </row>
  </sheetData>
  <pageMargins left="1" right="0.75" top="0.75" bottom="0.5" header="0.5" footer="0.5"/>
  <pageSetup orientation="portrait" r:id="rId1"/>
  <headerFooter>
    <oddFooter>&amp;L&amp;KFF0000Final Rate Application&amp;CPage &amp;P of &amp;N&amp;R02/10/2017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S15"/>
  <sheetViews>
    <sheetView showOutlineSymbols="0" zoomScaleNormal="100" zoomScaleSheetLayoutView="115" workbookViewId="0"/>
  </sheetViews>
  <sheetFormatPr defaultRowHeight="12.75" x14ac:dyDescent="0.2"/>
  <cols>
    <col min="1" max="1" width="32.85546875" style="343" customWidth="1"/>
    <col min="2" max="6" width="17" style="343" customWidth="1"/>
    <col min="7" max="7" width="3.140625" style="146" customWidth="1"/>
    <col min="8" max="10" width="15" style="343" customWidth="1"/>
    <col min="11" max="11" width="17" style="343" customWidth="1"/>
    <col min="12" max="12" width="17.7109375" style="343" bestFit="1" customWidth="1"/>
    <col min="13" max="13" width="3" style="343" customWidth="1"/>
    <col min="14" max="14" width="26.140625" style="343" bestFit="1" customWidth="1"/>
    <col min="15" max="17" width="15.28515625" style="343" customWidth="1"/>
    <col min="18" max="18" width="14.42578125" style="343" customWidth="1"/>
    <col min="19" max="19" width="17.7109375" style="343" bestFit="1" customWidth="1"/>
    <col min="20" max="16384" width="9.140625" style="343"/>
  </cols>
  <sheetData>
    <row r="1" spans="1:19" x14ac:dyDescent="0.2">
      <c r="A1" s="1129" t="str">
        <f>B!A2</f>
        <v>Recology San Francisco</v>
      </c>
      <c r="B1" s="258"/>
      <c r="C1" s="258"/>
      <c r="D1" s="258"/>
      <c r="E1" s="121"/>
      <c r="F1" s="121"/>
      <c r="G1" s="1346"/>
    </row>
    <row r="2" spans="1:19" x14ac:dyDescent="0.2">
      <c r="A2" s="1347" t="s">
        <v>683</v>
      </c>
      <c r="B2" s="258"/>
      <c r="C2" s="258"/>
      <c r="D2" s="258"/>
      <c r="E2" s="121"/>
      <c r="F2" s="121"/>
      <c r="L2" s="1132" t="s">
        <v>97</v>
      </c>
      <c r="S2" s="1132" t="s">
        <v>97</v>
      </c>
    </row>
    <row r="3" spans="1:19" ht="12.75" customHeight="1" x14ac:dyDescent="0.2">
      <c r="A3" s="1298" t="s">
        <v>60</v>
      </c>
      <c r="B3" s="258"/>
      <c r="C3" s="258"/>
      <c r="D3" s="258"/>
      <c r="E3" s="121"/>
      <c r="F3" s="121"/>
      <c r="L3" s="1134">
        <v>0.03</v>
      </c>
      <c r="S3" s="1134">
        <v>0.03</v>
      </c>
    </row>
    <row r="4" spans="1:19" ht="12.75" customHeight="1" x14ac:dyDescent="0.2">
      <c r="A4" s="1133"/>
      <c r="B4" s="258"/>
      <c r="C4" s="258"/>
      <c r="D4" s="258"/>
      <c r="E4" s="121"/>
      <c r="F4" s="1132" t="s">
        <v>97</v>
      </c>
      <c r="H4" s="1522" t="s">
        <v>74</v>
      </c>
      <c r="I4" s="1596"/>
      <c r="J4" s="1596"/>
      <c r="K4" s="1596"/>
      <c r="L4" s="1524"/>
      <c r="M4" s="867"/>
      <c r="N4" s="1497" t="s">
        <v>75</v>
      </c>
      <c r="O4" s="1600"/>
      <c r="P4" s="1600"/>
      <c r="Q4" s="1600"/>
      <c r="R4" s="1600"/>
      <c r="S4" s="1499"/>
    </row>
    <row r="5" spans="1:19" ht="15.75" x14ac:dyDescent="0.2">
      <c r="A5" s="1348"/>
      <c r="B5" s="258"/>
      <c r="C5" s="258"/>
      <c r="D5" s="258"/>
      <c r="E5" s="1301"/>
      <c r="F5" s="1134">
        <f>D!$G$5</f>
        <v>0.03</v>
      </c>
      <c r="H5" s="1597"/>
      <c r="I5" s="1598"/>
      <c r="J5" s="1598"/>
      <c r="K5" s="1598"/>
      <c r="L5" s="1599"/>
      <c r="M5" s="867"/>
      <c r="N5" s="1595"/>
      <c r="O5" s="1601"/>
      <c r="P5" s="1601"/>
      <c r="Q5" s="1601"/>
      <c r="R5" s="1601"/>
      <c r="S5" s="1602"/>
    </row>
    <row r="6" spans="1:19" ht="16.5" customHeight="1" x14ac:dyDescent="0.25">
      <c r="A6" s="1348"/>
      <c r="B6" s="1504" t="s">
        <v>207</v>
      </c>
      <c r="C6" s="1505"/>
      <c r="D6" s="1506"/>
      <c r="E6" s="267" t="s">
        <v>208</v>
      </c>
      <c r="F6" s="19" t="s">
        <v>209</v>
      </c>
      <c r="H6" s="1585" t="s">
        <v>207</v>
      </c>
      <c r="I6" s="1586"/>
      <c r="J6" s="1587"/>
      <c r="K6" s="909" t="s">
        <v>208</v>
      </c>
      <c r="L6" s="910" t="s">
        <v>209</v>
      </c>
      <c r="M6" s="12"/>
      <c r="N6" s="1093"/>
      <c r="O6" s="1586" t="s">
        <v>207</v>
      </c>
      <c r="P6" s="1586"/>
      <c r="Q6" s="1587"/>
      <c r="R6" s="909" t="s">
        <v>208</v>
      </c>
      <c r="S6" s="910" t="s">
        <v>209</v>
      </c>
    </row>
    <row r="7" spans="1:19" ht="20.25" customHeight="1" x14ac:dyDescent="0.25">
      <c r="A7" s="1349" t="s">
        <v>565</v>
      </c>
      <c r="B7" s="271" t="s">
        <v>102</v>
      </c>
      <c r="C7" s="271" t="s">
        <v>103</v>
      </c>
      <c r="D7" s="271" t="s">
        <v>104</v>
      </c>
      <c r="E7" s="128" t="s">
        <v>99</v>
      </c>
      <c r="F7" s="273" t="s">
        <v>69</v>
      </c>
      <c r="H7" s="912" t="s">
        <v>102</v>
      </c>
      <c r="I7" s="912" t="s">
        <v>103</v>
      </c>
      <c r="J7" s="912" t="s">
        <v>104</v>
      </c>
      <c r="K7" s="913" t="s">
        <v>99</v>
      </c>
      <c r="L7" s="914" t="s">
        <v>69</v>
      </c>
      <c r="M7" s="12"/>
      <c r="N7" s="1350" t="s">
        <v>565</v>
      </c>
      <c r="O7" s="915" t="s">
        <v>102</v>
      </c>
      <c r="P7" s="912" t="s">
        <v>103</v>
      </c>
      <c r="Q7" s="912" t="s">
        <v>104</v>
      </c>
      <c r="R7" s="913" t="s">
        <v>99</v>
      </c>
      <c r="S7" s="914" t="s">
        <v>69</v>
      </c>
    </row>
    <row r="8" spans="1:19" ht="15" customHeight="1" x14ac:dyDescent="0.2">
      <c r="A8" s="212" t="s">
        <v>684</v>
      </c>
      <c r="B8" s="1150">
        <v>69553.319999999992</v>
      </c>
      <c r="C8" s="1150">
        <v>76456.670000000013</v>
      </c>
      <c r="D8" s="1150">
        <v>68885.279999999999</v>
      </c>
      <c r="E8" s="1149">
        <v>71057</v>
      </c>
      <c r="F8" s="1351">
        <f>+E8*(1+$F$5)</f>
        <v>73188.710000000006</v>
      </c>
      <c r="G8" s="1352"/>
      <c r="H8" s="1150">
        <f t="shared" ref="H8:L11" si="0">IFERROR(B8-O8,"")</f>
        <v>0</v>
      </c>
      <c r="I8" s="1150">
        <f t="shared" si="0"/>
        <v>0</v>
      </c>
      <c r="J8" s="1150">
        <f t="shared" si="0"/>
        <v>0</v>
      </c>
      <c r="K8" s="1149">
        <f t="shared" si="0"/>
        <v>0</v>
      </c>
      <c r="L8" s="1351">
        <f t="shared" si="0"/>
        <v>0</v>
      </c>
      <c r="N8" s="212" t="s">
        <v>684</v>
      </c>
      <c r="O8" s="1150">
        <v>69553.319999999992</v>
      </c>
      <c r="P8" s="1150">
        <v>76456.670000000013</v>
      </c>
      <c r="Q8" s="1150">
        <v>68885.279999999999</v>
      </c>
      <c r="R8" s="1149">
        <v>71057</v>
      </c>
      <c r="S8" s="1351">
        <v>73188.710000000006</v>
      </c>
    </row>
    <row r="9" spans="1:19" ht="15" customHeight="1" x14ac:dyDescent="0.2">
      <c r="A9" s="1353" t="s">
        <v>685</v>
      </c>
      <c r="B9" s="144">
        <v>1041663.68</v>
      </c>
      <c r="C9" s="144">
        <v>856584.53999999992</v>
      </c>
      <c r="D9" s="144">
        <v>320188.78000000003</v>
      </c>
      <c r="E9" s="341">
        <v>1526146.5</v>
      </c>
      <c r="F9" s="283">
        <f>475000+201000-90000</f>
        <v>586000</v>
      </c>
      <c r="H9" s="144">
        <f t="shared" si="0"/>
        <v>0</v>
      </c>
      <c r="I9" s="144">
        <f t="shared" si="0"/>
        <v>0</v>
      </c>
      <c r="J9" s="144">
        <f t="shared" si="0"/>
        <v>0</v>
      </c>
      <c r="K9" s="341">
        <f t="shared" si="0"/>
        <v>0</v>
      </c>
      <c r="L9" s="283">
        <f t="shared" si="0"/>
        <v>-90000</v>
      </c>
      <c r="N9" s="1353" t="s">
        <v>685</v>
      </c>
      <c r="O9" s="144">
        <v>1041663.68</v>
      </c>
      <c r="P9" s="144">
        <v>856584.53999999992</v>
      </c>
      <c r="Q9" s="144">
        <v>320188.78000000003</v>
      </c>
      <c r="R9" s="341">
        <v>1526146.5</v>
      </c>
      <c r="S9" s="283">
        <v>676000</v>
      </c>
    </row>
    <row r="10" spans="1:19" ht="15" customHeight="1" x14ac:dyDescent="0.2">
      <c r="A10" s="1354" t="s">
        <v>686</v>
      </c>
      <c r="B10" s="144">
        <v>3018152.37</v>
      </c>
      <c r="C10" s="144">
        <v>2333951.84</v>
      </c>
      <c r="D10" s="144">
        <v>1570212.6</v>
      </c>
      <c r="E10" s="341">
        <v>494500</v>
      </c>
      <c r="F10" s="283">
        <f>1443000</f>
        <v>1443000</v>
      </c>
      <c r="H10" s="144">
        <f t="shared" si="0"/>
        <v>0</v>
      </c>
      <c r="I10" s="144">
        <f t="shared" si="0"/>
        <v>0</v>
      </c>
      <c r="J10" s="144">
        <f t="shared" si="0"/>
        <v>0</v>
      </c>
      <c r="K10" s="341">
        <f t="shared" si="0"/>
        <v>-857000</v>
      </c>
      <c r="L10" s="283">
        <f t="shared" si="0"/>
        <v>700000</v>
      </c>
      <c r="N10" s="1354" t="s">
        <v>686</v>
      </c>
      <c r="O10" s="144">
        <v>3018152.37</v>
      </c>
      <c r="P10" s="144">
        <v>2333951.84</v>
      </c>
      <c r="Q10" s="144">
        <v>1570212.6</v>
      </c>
      <c r="R10" s="341">
        <v>1351500</v>
      </c>
      <c r="S10" s="283">
        <v>743000</v>
      </c>
    </row>
    <row r="11" spans="1:19" ht="15" customHeight="1" x14ac:dyDescent="0.2">
      <c r="A11" s="1353" t="s">
        <v>687</v>
      </c>
      <c r="B11" s="144">
        <v>1259990.24</v>
      </c>
      <c r="C11" s="144">
        <v>573179.54</v>
      </c>
      <c r="D11" s="144">
        <v>488189.36</v>
      </c>
      <c r="E11" s="341">
        <v>300578</v>
      </c>
      <c r="F11" s="283">
        <f>AVERAGE(D11:E11)*(1+$F$5)</f>
        <v>406215.19040000002</v>
      </c>
      <c r="H11" s="144">
        <f t="shared" si="0"/>
        <v>0</v>
      </c>
      <c r="I11" s="144">
        <f t="shared" si="0"/>
        <v>0</v>
      </c>
      <c r="J11" s="144">
        <f t="shared" si="0"/>
        <v>0</v>
      </c>
      <c r="K11" s="341">
        <f t="shared" si="0"/>
        <v>0</v>
      </c>
      <c r="L11" s="283">
        <f t="shared" si="0"/>
        <v>0</v>
      </c>
      <c r="N11" s="1353" t="s">
        <v>687</v>
      </c>
      <c r="O11" s="144">
        <v>1259990.24</v>
      </c>
      <c r="P11" s="144">
        <v>573179.54</v>
      </c>
      <c r="Q11" s="144">
        <v>488189.36</v>
      </c>
      <c r="R11" s="341">
        <v>300578</v>
      </c>
      <c r="S11" s="283">
        <v>406215.19040000002</v>
      </c>
    </row>
    <row r="12" spans="1:19" ht="5.0999999999999996" customHeight="1" x14ac:dyDescent="0.2">
      <c r="A12" s="212"/>
      <c r="B12" s="1079"/>
      <c r="C12" s="1079"/>
      <c r="D12" s="1079"/>
      <c r="E12" s="1079"/>
      <c r="F12" s="1079"/>
      <c r="H12" s="1079"/>
      <c r="I12" s="1079"/>
      <c r="J12" s="1079"/>
      <c r="K12" s="1079"/>
      <c r="L12" s="1079"/>
      <c r="N12" s="212"/>
      <c r="O12" s="1079"/>
      <c r="P12" s="1079"/>
      <c r="Q12" s="1079"/>
      <c r="R12" s="1079"/>
      <c r="S12" s="1079"/>
    </row>
    <row r="13" spans="1:19" x14ac:dyDescent="0.2">
      <c r="A13" s="1154" t="s">
        <v>688</v>
      </c>
      <c r="B13" s="1355">
        <f t="shared" ref="B13:F13" si="1">SUM(B8:B12)</f>
        <v>5389359.6100000003</v>
      </c>
      <c r="C13" s="1355">
        <f t="shared" si="1"/>
        <v>3840172.59</v>
      </c>
      <c r="D13" s="1355">
        <f t="shared" si="1"/>
        <v>2447476.02</v>
      </c>
      <c r="E13" s="1355">
        <f t="shared" si="1"/>
        <v>2392281.5</v>
      </c>
      <c r="F13" s="1355">
        <f t="shared" si="1"/>
        <v>2508403.9004000002</v>
      </c>
      <c r="H13" s="1355">
        <f>IFERROR(B13-O13,"")</f>
        <v>0</v>
      </c>
      <c r="I13" s="1355">
        <f>IFERROR(C13-P13,"")</f>
        <v>0</v>
      </c>
      <c r="J13" s="1355">
        <f>IFERROR(D13-Q13,"")</f>
        <v>0</v>
      </c>
      <c r="K13" s="1355">
        <f>IFERROR(E13-R13,"")</f>
        <v>-857000</v>
      </c>
      <c r="L13" s="1355">
        <f>IFERROR(F13-S13,"")</f>
        <v>610000.00000000023</v>
      </c>
      <c r="N13" s="1154" t="s">
        <v>688</v>
      </c>
      <c r="O13" s="1355">
        <v>5389359.6100000003</v>
      </c>
      <c r="P13" s="1355">
        <v>3840172.59</v>
      </c>
      <c r="Q13" s="1355">
        <v>2447476.02</v>
      </c>
      <c r="R13" s="1355">
        <v>3249281.5</v>
      </c>
      <c r="S13" s="1355">
        <v>1898403.9003999999</v>
      </c>
    </row>
    <row r="14" spans="1:19" x14ac:dyDescent="0.2">
      <c r="A14" s="121"/>
      <c r="B14" s="258"/>
      <c r="C14" s="258"/>
      <c r="D14" s="258"/>
      <c r="E14" s="258"/>
      <c r="F14" s="121"/>
    </row>
    <row r="15" spans="1:19" x14ac:dyDescent="0.2">
      <c r="A15" s="1356"/>
      <c r="B15" s="178"/>
      <c r="C15" s="178"/>
      <c r="D15" s="178"/>
      <c r="E15" s="178"/>
      <c r="F15" s="178"/>
      <c r="G15" s="184"/>
    </row>
  </sheetData>
  <mergeCells count="5">
    <mergeCell ref="H4:L5"/>
    <mergeCell ref="N4:S5"/>
    <mergeCell ref="B6:D6"/>
    <mergeCell ref="H6:J6"/>
    <mergeCell ref="O6:Q6"/>
  </mergeCells>
  <pageMargins left="1" right="0.75" top="0.75" bottom="0.5" header="0.5" footer="0.5"/>
  <pageSetup orientation="landscape" r:id="rId1"/>
  <headerFooter>
    <oddFooter>&amp;L&amp;KFF0000Final Rate Application&amp;CPage &amp;P of &amp;N&amp;R02/10/2017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S19"/>
  <sheetViews>
    <sheetView showOutlineSymbols="0" zoomScaleNormal="100" zoomScaleSheetLayoutView="115" workbookViewId="0"/>
  </sheetViews>
  <sheetFormatPr defaultRowHeight="12.75" outlineLevelRow="1" x14ac:dyDescent="0.2"/>
  <cols>
    <col min="1" max="1" width="30.140625" style="12" customWidth="1"/>
    <col min="2" max="2" width="17.140625" style="12" customWidth="1" collapsed="1"/>
    <col min="3" max="6" width="17.140625" style="12" customWidth="1"/>
    <col min="7" max="7" width="1.85546875" style="12" customWidth="1"/>
    <col min="8" max="10" width="13.140625" style="12" customWidth="1"/>
    <col min="11" max="11" width="14.140625" style="12" customWidth="1"/>
    <col min="12" max="12" width="17.7109375" style="12" bestFit="1" customWidth="1"/>
    <col min="13" max="13" width="1.28515625" style="12" customWidth="1"/>
    <col min="14" max="14" width="27" style="12" bestFit="1" customWidth="1"/>
    <col min="15" max="18" width="13.28515625" style="12" customWidth="1"/>
    <col min="19" max="19" width="17.7109375" style="12" bestFit="1" customWidth="1"/>
    <col min="20" max="16384" width="9.140625" style="12"/>
  </cols>
  <sheetData>
    <row r="1" spans="1:19" x14ac:dyDescent="0.2">
      <c r="A1" s="112" t="str">
        <f>B!$A$2</f>
        <v>Recology San Francisco</v>
      </c>
      <c r="B1" s="112"/>
      <c r="C1" s="112"/>
      <c r="D1" s="112"/>
      <c r="G1" s="406"/>
    </row>
    <row r="2" spans="1:19" x14ac:dyDescent="0.2">
      <c r="A2" s="1358" t="s">
        <v>689</v>
      </c>
      <c r="B2" s="1359"/>
      <c r="C2" s="1359"/>
      <c r="D2" s="1359"/>
      <c r="H2" s="343"/>
      <c r="I2" s="343"/>
      <c r="J2" s="343"/>
      <c r="K2" s="1132"/>
      <c r="L2" s="1132"/>
      <c r="M2" s="343"/>
      <c r="N2" s="343"/>
      <c r="O2" s="343"/>
      <c r="P2" s="343"/>
      <c r="Q2" s="343"/>
      <c r="R2" s="1132"/>
      <c r="S2" s="1132"/>
    </row>
    <row r="3" spans="1:19" ht="12.75" customHeight="1" x14ac:dyDescent="0.2">
      <c r="A3" s="1360" t="s">
        <v>62</v>
      </c>
      <c r="B3" s="1360"/>
      <c r="C3" s="1360"/>
      <c r="D3" s="1360"/>
      <c r="H3" s="343"/>
      <c r="I3" s="343"/>
      <c r="J3" s="343"/>
      <c r="K3" s="1134"/>
      <c r="L3" s="1134"/>
      <c r="M3" s="343"/>
      <c r="N3" s="343"/>
      <c r="O3" s="343"/>
      <c r="P3" s="343"/>
      <c r="Q3" s="343"/>
      <c r="R3" s="1134"/>
      <c r="S3" s="1134"/>
    </row>
    <row r="4" spans="1:19" ht="12.75" customHeight="1" x14ac:dyDescent="0.2">
      <c r="A4" s="349"/>
      <c r="B4" s="349"/>
      <c r="C4" s="349"/>
      <c r="D4" s="349"/>
      <c r="E4" s="1361"/>
      <c r="F4" s="1361"/>
      <c r="H4" s="1522" t="s">
        <v>74</v>
      </c>
      <c r="I4" s="1596"/>
      <c r="J4" s="1596"/>
      <c r="K4" s="1596"/>
      <c r="L4" s="1524"/>
      <c r="M4" s="867"/>
      <c r="N4" s="1497" t="s">
        <v>75</v>
      </c>
      <c r="O4" s="1600"/>
      <c r="P4" s="1600"/>
      <c r="Q4" s="1600"/>
      <c r="R4" s="1600"/>
      <c r="S4" s="1499"/>
    </row>
    <row r="5" spans="1:19" s="747" customFormat="1" ht="15.75" x14ac:dyDescent="0.2">
      <c r="E5" s="1361"/>
      <c r="F5" s="1361"/>
      <c r="H5" s="1597"/>
      <c r="I5" s="1598"/>
      <c r="J5" s="1598"/>
      <c r="K5" s="1598"/>
      <c r="L5" s="1599"/>
      <c r="M5" s="867"/>
      <c r="N5" s="1595"/>
      <c r="O5" s="1601"/>
      <c r="P5" s="1601"/>
      <c r="Q5" s="1601"/>
      <c r="R5" s="1601"/>
      <c r="S5" s="1602"/>
    </row>
    <row r="6" spans="1:19" ht="16.5" customHeight="1" x14ac:dyDescent="0.25">
      <c r="B6" s="1504" t="s">
        <v>207</v>
      </c>
      <c r="C6" s="1505"/>
      <c r="D6" s="1506"/>
      <c r="E6" s="267" t="s">
        <v>208</v>
      </c>
      <c r="F6" s="19" t="s">
        <v>209</v>
      </c>
      <c r="H6" s="1585" t="s">
        <v>207</v>
      </c>
      <c r="I6" s="1586"/>
      <c r="J6" s="1587"/>
      <c r="K6" s="909" t="s">
        <v>208</v>
      </c>
      <c r="L6" s="910" t="s">
        <v>209</v>
      </c>
      <c r="N6" s="1093"/>
      <c r="O6" s="1586" t="s">
        <v>207</v>
      </c>
      <c r="P6" s="1586"/>
      <c r="Q6" s="1587"/>
      <c r="R6" s="909" t="s">
        <v>208</v>
      </c>
      <c r="S6" s="910" t="s">
        <v>209</v>
      </c>
    </row>
    <row r="7" spans="1:19" s="407" customFormat="1" ht="16.5" customHeight="1" x14ac:dyDescent="0.25">
      <c r="A7" s="1362" t="s">
        <v>690</v>
      </c>
      <c r="B7" s="271" t="s">
        <v>102</v>
      </c>
      <c r="C7" s="271" t="s">
        <v>103</v>
      </c>
      <c r="D7" s="271" t="s">
        <v>104</v>
      </c>
      <c r="E7" s="267" t="s">
        <v>99</v>
      </c>
      <c r="F7" s="19" t="s">
        <v>69</v>
      </c>
      <c r="G7" s="1363"/>
      <c r="H7" s="912" t="s">
        <v>102</v>
      </c>
      <c r="I7" s="912" t="s">
        <v>103</v>
      </c>
      <c r="J7" s="912" t="s">
        <v>104</v>
      </c>
      <c r="K7" s="913" t="s">
        <v>99</v>
      </c>
      <c r="L7" s="914" t="s">
        <v>69</v>
      </c>
      <c r="M7" s="12"/>
      <c r="N7" s="1364" t="s">
        <v>106</v>
      </c>
      <c r="O7" s="915" t="s">
        <v>102</v>
      </c>
      <c r="P7" s="912" t="s">
        <v>103</v>
      </c>
      <c r="Q7" s="912" t="s">
        <v>104</v>
      </c>
      <c r="R7" s="913" t="s">
        <v>99</v>
      </c>
      <c r="S7" s="914" t="s">
        <v>69</v>
      </c>
    </row>
    <row r="8" spans="1:19" s="407" customFormat="1" ht="15" customHeight="1" x14ac:dyDescent="0.2">
      <c r="A8" s="1365" t="s">
        <v>691</v>
      </c>
      <c r="B8" s="1366"/>
      <c r="C8" s="1366"/>
      <c r="D8" s="1366"/>
      <c r="E8" s="1367"/>
      <c r="F8" s="1367"/>
      <c r="G8" s="1368"/>
      <c r="H8" s="1366"/>
      <c r="I8" s="1366"/>
      <c r="J8" s="1366"/>
      <c r="K8" s="1367"/>
      <c r="L8" s="1367"/>
      <c r="N8" s="1365" t="s">
        <v>691</v>
      </c>
      <c r="O8" s="1366"/>
      <c r="P8" s="1366"/>
      <c r="Q8" s="1366"/>
      <c r="R8" s="1367"/>
      <c r="S8" s="1367"/>
    </row>
    <row r="9" spans="1:19" s="407" customFormat="1" ht="15" customHeight="1" x14ac:dyDescent="0.2">
      <c r="A9" s="1369" t="s">
        <v>692</v>
      </c>
      <c r="B9" s="919">
        <f>+D!C20</f>
        <v>106830.84412057322</v>
      </c>
      <c r="C9" s="919">
        <f>+D!D20</f>
        <v>91225.662647229401</v>
      </c>
      <c r="D9" s="919">
        <f>+D!E20</f>
        <v>126560.92305013406</v>
      </c>
      <c r="E9" s="919">
        <v>130737.43351078848</v>
      </c>
      <c r="F9" s="919">
        <v>135051.7688166445</v>
      </c>
      <c r="G9" s="1368"/>
      <c r="H9" s="919">
        <f>IFERROR(B9-O9,"")</f>
        <v>0</v>
      </c>
      <c r="I9" s="919">
        <f>IFERROR(C9-P9,"")</f>
        <v>0</v>
      </c>
      <c r="J9" s="919">
        <f>IFERROR(D9-Q9,"")</f>
        <v>0</v>
      </c>
      <c r="K9" s="919">
        <f>IFERROR(E9-R9,"")</f>
        <v>253.1218461002718</v>
      </c>
      <c r="L9" s="919">
        <f>IFERROR(F9-S9,"")</f>
        <v>522.4434903509682</v>
      </c>
      <c r="N9" s="1369" t="s">
        <v>692</v>
      </c>
      <c r="O9" s="919">
        <v>106830.84412057322</v>
      </c>
      <c r="P9" s="919">
        <v>91225.662647229401</v>
      </c>
      <c r="Q9" s="919">
        <v>126560.92305013406</v>
      </c>
      <c r="R9" s="919">
        <v>130484.31166468821</v>
      </c>
      <c r="S9" s="919">
        <v>134529.32532629353</v>
      </c>
    </row>
    <row r="10" spans="1:19" s="407" customFormat="1" ht="15" customHeight="1" x14ac:dyDescent="0.2">
      <c r="A10" s="1370" t="s">
        <v>693</v>
      </c>
      <c r="B10" s="1371">
        <f>+D!C43</f>
        <v>18987.67143320293</v>
      </c>
      <c r="C10" s="1371">
        <f>+D!D43</f>
        <v>14416.54549330947</v>
      </c>
      <c r="D10" s="1371">
        <f>+D!E43</f>
        <v>20131.708907075423</v>
      </c>
      <c r="E10" s="1372">
        <v>20796.05530100891</v>
      </c>
      <c r="F10" s="1372">
        <v>21482.325125942203</v>
      </c>
      <c r="G10" s="1368"/>
      <c r="H10" s="1371">
        <f t="shared" ref="H10:L16" si="0">IFERROR(B10-O10,"")</f>
        <v>0</v>
      </c>
      <c r="I10" s="1371">
        <f t="shared" si="0"/>
        <v>0</v>
      </c>
      <c r="J10" s="1371">
        <f t="shared" si="0"/>
        <v>0</v>
      </c>
      <c r="K10" s="1372">
        <f t="shared" si="0"/>
        <v>40.263417814148852</v>
      </c>
      <c r="L10" s="1372">
        <f t="shared" si="0"/>
        <v>83.103694368404831</v>
      </c>
      <c r="N10" s="1370" t="s">
        <v>694</v>
      </c>
      <c r="O10" s="1371">
        <v>18987.67143320293</v>
      </c>
      <c r="P10" s="1371">
        <v>14416.54549330947</v>
      </c>
      <c r="Q10" s="1371">
        <v>20131.708907075423</v>
      </c>
      <c r="R10" s="1372">
        <v>20755.791883194761</v>
      </c>
      <c r="S10" s="1372">
        <v>21399.221431573798</v>
      </c>
    </row>
    <row r="11" spans="1:19" s="407" customFormat="1" ht="15" customHeight="1" x14ac:dyDescent="0.2">
      <c r="A11" s="1370" t="s">
        <v>695</v>
      </c>
      <c r="B11" s="1371">
        <f>+D!C25</f>
        <v>537583.20843731868</v>
      </c>
      <c r="C11" s="1371">
        <f>+D!D25</f>
        <v>551764.30041959579</v>
      </c>
      <c r="D11" s="1371">
        <f>+D!E25</f>
        <v>472856.49844907923</v>
      </c>
      <c r="E11" s="1372">
        <v>487337.52139143203</v>
      </c>
      <c r="F11" s="1372">
        <v>503419.65959734924</v>
      </c>
      <c r="G11" s="1368"/>
      <c r="H11" s="1371">
        <f t="shared" si="0"/>
        <v>0</v>
      </c>
      <c r="I11" s="1371">
        <f t="shared" si="0"/>
        <v>0</v>
      </c>
      <c r="J11" s="1371">
        <f t="shared" si="0"/>
        <v>1087.3586703453911</v>
      </c>
      <c r="K11" s="1372">
        <f t="shared" si="0"/>
        <v>943.5382795574842</v>
      </c>
      <c r="L11" s="1372">
        <f t="shared" si="0"/>
        <v>1947.4630090066348</v>
      </c>
      <c r="N11" s="1370" t="s">
        <v>695</v>
      </c>
      <c r="O11" s="1371">
        <v>537583.20843731868</v>
      </c>
      <c r="P11" s="1371">
        <v>551764.30041959579</v>
      </c>
      <c r="Q11" s="1371">
        <v>471769.13977873384</v>
      </c>
      <c r="R11" s="1372">
        <v>486393.98311187455</v>
      </c>
      <c r="S11" s="1372">
        <v>501472.1965883426</v>
      </c>
    </row>
    <row r="12" spans="1:19" s="407" customFormat="1" ht="15" customHeight="1" x14ac:dyDescent="0.2">
      <c r="A12" s="1370" t="s">
        <v>696</v>
      </c>
      <c r="B12" s="1371">
        <f>+D!C19</f>
        <v>149572.90817929973</v>
      </c>
      <c r="C12" s="1371">
        <f>+D!D19</f>
        <v>92239.955912236328</v>
      </c>
      <c r="D12" s="1371">
        <f>+D!E19</f>
        <v>123376.60113423226</v>
      </c>
      <c r="E12" s="1372">
        <v>127448.0289716619</v>
      </c>
      <c r="F12" s="1372">
        <v>131653.81392772673</v>
      </c>
      <c r="G12" s="1373"/>
      <c r="H12" s="1371">
        <f t="shared" si="0"/>
        <v>0</v>
      </c>
      <c r="I12" s="1371">
        <f t="shared" si="0"/>
        <v>0</v>
      </c>
      <c r="J12" s="1371">
        <f t="shared" si="0"/>
        <v>1.4551915228366852E-11</v>
      </c>
      <c r="K12" s="1372">
        <f t="shared" si="0"/>
        <v>246.75320226846088</v>
      </c>
      <c r="L12" s="1372">
        <f t="shared" si="0"/>
        <v>509.29860948209534</v>
      </c>
      <c r="N12" s="1370" t="s">
        <v>696</v>
      </c>
      <c r="O12" s="1371">
        <v>149572.90817929973</v>
      </c>
      <c r="P12" s="1371">
        <v>92239.955912236328</v>
      </c>
      <c r="Q12" s="1371">
        <v>123376.60113423225</v>
      </c>
      <c r="R12" s="1372">
        <v>127201.27576939344</v>
      </c>
      <c r="S12" s="1372">
        <v>131144.51531824464</v>
      </c>
    </row>
    <row r="13" spans="1:19" s="407" customFormat="1" ht="15" customHeight="1" x14ac:dyDescent="0.2">
      <c r="A13" s="1370" t="s">
        <v>697</v>
      </c>
      <c r="B13" s="1371">
        <f>+D!C22</f>
        <v>37895.395625876845</v>
      </c>
      <c r="C13" s="1371">
        <f>+D!D22</f>
        <v>30500.882648204875</v>
      </c>
      <c r="D13" s="1371">
        <f>+D!E22</f>
        <v>40653.553481865354</v>
      </c>
      <c r="E13" s="1372">
        <v>41995.120746766908</v>
      </c>
      <c r="F13" s="1372">
        <v>43380.959731410214</v>
      </c>
      <c r="G13" s="1374"/>
      <c r="H13" s="1371">
        <f t="shared" si="0"/>
        <v>0</v>
      </c>
      <c r="I13" s="1371">
        <f t="shared" si="0"/>
        <v>0</v>
      </c>
      <c r="J13" s="1371">
        <f t="shared" si="0"/>
        <v>0</v>
      </c>
      <c r="K13" s="1372">
        <f t="shared" si="0"/>
        <v>81.307106963729893</v>
      </c>
      <c r="L13" s="1372">
        <f t="shared" si="0"/>
        <v>167.81786877314153</v>
      </c>
      <c r="N13" s="1370" t="s">
        <v>697</v>
      </c>
      <c r="O13" s="1371">
        <v>37895.395625876845</v>
      </c>
      <c r="P13" s="1371">
        <v>30500.882648204875</v>
      </c>
      <c r="Q13" s="1371">
        <v>40653.553481865354</v>
      </c>
      <c r="R13" s="1372">
        <v>41913.813639803178</v>
      </c>
      <c r="S13" s="1372">
        <v>43213.141862637072</v>
      </c>
    </row>
    <row r="14" spans="1:19" s="407" customFormat="1" ht="15" customHeight="1" x14ac:dyDescent="0.2">
      <c r="A14" s="1370" t="s">
        <v>698</v>
      </c>
      <c r="B14" s="1371">
        <f>+D!C27</f>
        <v>659165.38703208219</v>
      </c>
      <c r="C14" s="1371">
        <f>+D!D27</f>
        <v>819569.81604514201</v>
      </c>
      <c r="D14" s="1371">
        <f>+D!E27</f>
        <v>710550.37272742402</v>
      </c>
      <c r="E14" s="1372">
        <v>733998.535027429</v>
      </c>
      <c r="F14" s="1372">
        <v>758220.48668333411</v>
      </c>
      <c r="G14" s="1374"/>
      <c r="H14" s="1371">
        <f t="shared" si="0"/>
        <v>0</v>
      </c>
      <c r="I14" s="1371">
        <f t="shared" si="0"/>
        <v>0</v>
      </c>
      <c r="J14" s="1371">
        <f t="shared" si="0"/>
        <v>0</v>
      </c>
      <c r="K14" s="1372">
        <f t="shared" si="0"/>
        <v>1421.1007454548962</v>
      </c>
      <c r="L14" s="1372">
        <f t="shared" si="0"/>
        <v>2933.1519386188593</v>
      </c>
      <c r="N14" s="1370" t="s">
        <v>698</v>
      </c>
      <c r="O14" s="1371">
        <v>659165.38703208219</v>
      </c>
      <c r="P14" s="1371">
        <v>819569.81604514201</v>
      </c>
      <c r="Q14" s="1371">
        <v>710550.37272742402</v>
      </c>
      <c r="R14" s="1372">
        <v>732577.4342819741</v>
      </c>
      <c r="S14" s="1372">
        <v>755287.33474471525</v>
      </c>
    </row>
    <row r="15" spans="1:19" s="407" customFormat="1" x14ac:dyDescent="0.2">
      <c r="A15" s="1375"/>
      <c r="B15" s="1376"/>
      <c r="C15" s="1376"/>
      <c r="D15" s="1376"/>
      <c r="E15" s="1127"/>
      <c r="F15" s="1127"/>
      <c r="G15" s="1374"/>
      <c r="H15" s="1376"/>
      <c r="I15" s="1376"/>
      <c r="J15" s="1376"/>
      <c r="K15" s="1127"/>
      <c r="L15" s="1127"/>
      <c r="N15" s="1375"/>
      <c r="O15" s="1376"/>
      <c r="P15" s="1376"/>
      <c r="Q15" s="1376"/>
      <c r="R15" s="1127"/>
      <c r="S15" s="1127"/>
    </row>
    <row r="16" spans="1:19" s="407" customFormat="1" x14ac:dyDescent="0.2">
      <c r="A16" s="1364" t="s">
        <v>699</v>
      </c>
      <c r="B16" s="77">
        <f t="shared" ref="B16:F16" si="1">SUM(B9:B14)</f>
        <v>1510035.4148283536</v>
      </c>
      <c r="C16" s="77">
        <f t="shared" si="1"/>
        <v>1599717.1631657179</v>
      </c>
      <c r="D16" s="77">
        <f t="shared" si="1"/>
        <v>1494129.6577498103</v>
      </c>
      <c r="E16" s="77">
        <f t="shared" si="1"/>
        <v>1542312.6949490872</v>
      </c>
      <c r="F16" s="77">
        <f t="shared" si="1"/>
        <v>1593209.013882407</v>
      </c>
      <c r="G16" s="1374"/>
      <c r="H16" s="77">
        <f t="shared" si="0"/>
        <v>0</v>
      </c>
      <c r="I16" s="77">
        <f t="shared" si="0"/>
        <v>0</v>
      </c>
      <c r="J16" s="77">
        <f t="shared" si="0"/>
        <v>1087.3586703452747</v>
      </c>
      <c r="K16" s="77">
        <f t="shared" si="0"/>
        <v>2986.0845981589518</v>
      </c>
      <c r="L16" s="77">
        <f t="shared" si="0"/>
        <v>6163.2786106001586</v>
      </c>
      <c r="N16" s="1364" t="s">
        <v>699</v>
      </c>
      <c r="O16" s="77">
        <v>1510035.4148283536</v>
      </c>
      <c r="P16" s="77">
        <v>1599717.1631657179</v>
      </c>
      <c r="Q16" s="77">
        <v>1493042.299079465</v>
      </c>
      <c r="R16" s="77">
        <v>1539326.6103509283</v>
      </c>
      <c r="S16" s="77">
        <v>1587045.7352718068</v>
      </c>
    </row>
    <row r="17" spans="1:7" s="407" customFormat="1" ht="3.75" customHeight="1" x14ac:dyDescent="0.2">
      <c r="A17" s="1377"/>
      <c r="B17" s="1377"/>
      <c r="C17" s="1377"/>
      <c r="D17" s="1377"/>
      <c r="E17" s="1373"/>
      <c r="F17" s="1373"/>
      <c r="G17" s="1373"/>
    </row>
    <row r="18" spans="1:7" s="407" customFormat="1" ht="13.5" customHeight="1" x14ac:dyDescent="0.2">
      <c r="A18" s="1378"/>
      <c r="B18" s="1378"/>
      <c r="C18" s="1378"/>
      <c r="D18" s="1378"/>
    </row>
    <row r="19" spans="1:7" s="407" customFormat="1" outlineLevel="1" x14ac:dyDescent="0.2">
      <c r="A19" s="1379"/>
      <c r="B19" s="1379"/>
      <c r="C19" s="1379"/>
      <c r="D19" s="1379"/>
      <c r="E19" s="1380"/>
      <c r="F19" s="1380"/>
      <c r="G19" s="1380"/>
    </row>
  </sheetData>
  <mergeCells count="5">
    <mergeCell ref="H4:L5"/>
    <mergeCell ref="N4:S5"/>
    <mergeCell ref="B6:D6"/>
    <mergeCell ref="H6:J6"/>
    <mergeCell ref="O6:Q6"/>
  </mergeCells>
  <pageMargins left="1" right="0.75" top="0.75" bottom="0.5" header="0.5" footer="0.5"/>
  <pageSetup orientation="landscape" r:id="rId1"/>
  <headerFooter>
    <oddFooter>&amp;L&amp;KFF0000Final Rate Application&amp;CPage &amp;P of &amp;N&amp;R02/10/2017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37"/>
  <sheetViews>
    <sheetView workbookViewId="0"/>
  </sheetViews>
  <sheetFormatPr defaultRowHeight="12.75" x14ac:dyDescent="0.2"/>
  <cols>
    <col min="1" max="1" width="100.7109375" customWidth="1"/>
    <col min="257" max="257" width="100.7109375" customWidth="1"/>
    <col min="513" max="513" width="100.7109375" customWidth="1"/>
    <col min="769" max="769" width="100.7109375" customWidth="1"/>
    <col min="1025" max="1025" width="100.7109375" customWidth="1"/>
    <col min="1281" max="1281" width="100.7109375" customWidth="1"/>
    <col min="1537" max="1537" width="100.7109375" customWidth="1"/>
    <col min="1793" max="1793" width="100.7109375" customWidth="1"/>
    <col min="2049" max="2049" width="100.7109375" customWidth="1"/>
    <col min="2305" max="2305" width="100.7109375" customWidth="1"/>
    <col min="2561" max="2561" width="100.7109375" customWidth="1"/>
    <col min="2817" max="2817" width="100.7109375" customWidth="1"/>
    <col min="3073" max="3073" width="100.7109375" customWidth="1"/>
    <col min="3329" max="3329" width="100.7109375" customWidth="1"/>
    <col min="3585" max="3585" width="100.7109375" customWidth="1"/>
    <col min="3841" max="3841" width="100.7109375" customWidth="1"/>
    <col min="4097" max="4097" width="100.7109375" customWidth="1"/>
    <col min="4353" max="4353" width="100.7109375" customWidth="1"/>
    <col min="4609" max="4609" width="100.7109375" customWidth="1"/>
    <col min="4865" max="4865" width="100.7109375" customWidth="1"/>
    <col min="5121" max="5121" width="100.7109375" customWidth="1"/>
    <col min="5377" max="5377" width="100.7109375" customWidth="1"/>
    <col min="5633" max="5633" width="100.7109375" customWidth="1"/>
    <col min="5889" max="5889" width="100.7109375" customWidth="1"/>
    <col min="6145" max="6145" width="100.7109375" customWidth="1"/>
    <col min="6401" max="6401" width="100.7109375" customWidth="1"/>
    <col min="6657" max="6657" width="100.7109375" customWidth="1"/>
    <col min="6913" max="6913" width="100.7109375" customWidth="1"/>
    <col min="7169" max="7169" width="100.7109375" customWidth="1"/>
    <col min="7425" max="7425" width="100.7109375" customWidth="1"/>
    <col min="7681" max="7681" width="100.7109375" customWidth="1"/>
    <col min="7937" max="7937" width="100.7109375" customWidth="1"/>
    <col min="8193" max="8193" width="100.7109375" customWidth="1"/>
    <col min="8449" max="8449" width="100.7109375" customWidth="1"/>
    <col min="8705" max="8705" width="100.7109375" customWidth="1"/>
    <col min="8961" max="8961" width="100.7109375" customWidth="1"/>
    <col min="9217" max="9217" width="100.7109375" customWidth="1"/>
    <col min="9473" max="9473" width="100.7109375" customWidth="1"/>
    <col min="9729" max="9729" width="100.7109375" customWidth="1"/>
    <col min="9985" max="9985" width="100.7109375" customWidth="1"/>
    <col min="10241" max="10241" width="100.7109375" customWidth="1"/>
    <col min="10497" max="10497" width="100.7109375" customWidth="1"/>
    <col min="10753" max="10753" width="100.7109375" customWidth="1"/>
    <col min="11009" max="11009" width="100.7109375" customWidth="1"/>
    <col min="11265" max="11265" width="100.7109375" customWidth="1"/>
    <col min="11521" max="11521" width="100.7109375" customWidth="1"/>
    <col min="11777" max="11777" width="100.7109375" customWidth="1"/>
    <col min="12033" max="12033" width="100.7109375" customWidth="1"/>
    <col min="12289" max="12289" width="100.7109375" customWidth="1"/>
    <col min="12545" max="12545" width="100.7109375" customWidth="1"/>
    <col min="12801" max="12801" width="100.7109375" customWidth="1"/>
    <col min="13057" max="13057" width="100.7109375" customWidth="1"/>
    <col min="13313" max="13313" width="100.7109375" customWidth="1"/>
    <col min="13569" max="13569" width="100.7109375" customWidth="1"/>
    <col min="13825" max="13825" width="100.7109375" customWidth="1"/>
    <col min="14081" max="14081" width="100.7109375" customWidth="1"/>
    <col min="14337" max="14337" width="100.7109375" customWidth="1"/>
    <col min="14593" max="14593" width="100.7109375" customWidth="1"/>
    <col min="14849" max="14849" width="100.7109375" customWidth="1"/>
    <col min="15105" max="15105" width="100.7109375" customWidth="1"/>
    <col min="15361" max="15361" width="100.7109375" customWidth="1"/>
    <col min="15617" max="15617" width="100.7109375" customWidth="1"/>
    <col min="15873" max="15873" width="100.7109375" customWidth="1"/>
    <col min="16129" max="16129" width="100.7109375" customWidth="1"/>
  </cols>
  <sheetData>
    <row r="1" spans="1:2" ht="22.5" x14ac:dyDescent="0.3">
      <c r="A1" s="1381" t="s">
        <v>700</v>
      </c>
    </row>
    <row r="3" spans="1:2" ht="20.25" x14ac:dyDescent="0.3">
      <c r="A3" s="1382" t="s">
        <v>701</v>
      </c>
      <c r="B3" s="1063"/>
    </row>
    <row r="33" spans="1:1" ht="20.25" x14ac:dyDescent="0.3">
      <c r="A33" s="1383" t="s">
        <v>0</v>
      </c>
    </row>
    <row r="37" spans="1:1" ht="20.25" x14ac:dyDescent="0.3">
      <c r="A37" s="1383"/>
    </row>
  </sheetData>
  <pageMargins left="1" right="0.75" top="0.75" bottom="0.5" header="0.5" footer="0.5"/>
  <pageSetup scale="87" orientation="portrait" r:id="rId1"/>
  <headerFooter>
    <oddFooter>&amp;L&amp;KFF0000Final Rate Application&amp;CPage &amp;P of &amp;N&amp;R02/10/2017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4"/>
  <sheetViews>
    <sheetView topLeftCell="A2" workbookViewId="0">
      <selection activeCell="A2" sqref="A2"/>
    </sheetView>
  </sheetViews>
  <sheetFormatPr defaultRowHeight="12.75" x14ac:dyDescent="0.2"/>
  <cols>
    <col min="1" max="1" width="52.42578125" style="28" customWidth="1"/>
    <col min="2" max="2" width="23.28515625" style="28" customWidth="1"/>
    <col min="3" max="3" width="11.42578125" style="114" bestFit="1" customWidth="1"/>
    <col min="4" max="4" width="14.5703125" style="114" bestFit="1" customWidth="1"/>
    <col min="5" max="12" width="9.140625" style="114"/>
    <col min="13" max="16384" width="9.140625" style="28"/>
  </cols>
  <sheetData>
    <row r="1" spans="1:2" hidden="1" x14ac:dyDescent="0.2">
      <c r="B1" s="28">
        <v>1</v>
      </c>
    </row>
    <row r="2" spans="1:2" ht="15" x14ac:dyDescent="0.25">
      <c r="A2" s="15" t="s">
        <v>0</v>
      </c>
    </row>
    <row r="3" spans="1:2" ht="15" x14ac:dyDescent="0.25">
      <c r="A3" s="1384" t="s">
        <v>702</v>
      </c>
    </row>
    <row r="4" spans="1:2" ht="15" x14ac:dyDescent="0.25">
      <c r="A4" s="16" t="s">
        <v>72</v>
      </c>
      <c r="B4" s="30"/>
    </row>
    <row r="5" spans="1:2" ht="15" x14ac:dyDescent="0.25">
      <c r="A5" s="17" t="str">
        <f>B!A4</f>
        <v>Rate Calculations - Processing and Disposal</v>
      </c>
      <c r="B5" s="31"/>
    </row>
    <row r="6" spans="1:2" ht="15" x14ac:dyDescent="0.25">
      <c r="A6" s="33"/>
      <c r="B6" s="34"/>
    </row>
    <row r="7" spans="1:2" ht="7.5" customHeight="1" x14ac:dyDescent="0.2">
      <c r="A7" s="36"/>
    </row>
    <row r="8" spans="1:2" ht="29.1" customHeight="1" x14ac:dyDescent="0.2">
      <c r="A8" s="1385"/>
      <c r="B8" s="876" t="s">
        <v>69</v>
      </c>
    </row>
    <row r="9" spans="1:2" x14ac:dyDescent="0.2">
      <c r="A9" s="43" t="s">
        <v>76</v>
      </c>
      <c r="B9" s="1351">
        <f>+CS1_D!C54</f>
        <v>5733865.603863053</v>
      </c>
    </row>
    <row r="10" spans="1:2" ht="9.75" customHeight="1" x14ac:dyDescent="0.2">
      <c r="A10" s="1386"/>
      <c r="B10" s="47"/>
    </row>
    <row r="11" spans="1:2" x14ac:dyDescent="0.2">
      <c r="A11" s="1387" t="s">
        <v>77</v>
      </c>
      <c r="B11" s="50">
        <f>+B10+B9</f>
        <v>5733865.603863053</v>
      </c>
    </row>
    <row r="12" spans="1:2" ht="11.25" customHeight="1" x14ac:dyDescent="0.2">
      <c r="A12" s="1388"/>
      <c r="B12" s="53"/>
    </row>
    <row r="13" spans="1:2" ht="18" customHeight="1" x14ac:dyDescent="0.2">
      <c r="A13" s="54" t="s">
        <v>78</v>
      </c>
      <c r="B13" s="55">
        <v>0.91</v>
      </c>
    </row>
    <row r="14" spans="1:2" ht="8.25" customHeight="1" x14ac:dyDescent="0.2">
      <c r="A14" s="1389"/>
      <c r="B14" s="1390"/>
    </row>
    <row r="15" spans="1:2" ht="12.75" customHeight="1" x14ac:dyDescent="0.2">
      <c r="A15" s="1391" t="s">
        <v>79</v>
      </c>
      <c r="B15" s="77">
        <f>+B11/B13</f>
        <v>6300951.213036322</v>
      </c>
    </row>
    <row r="16" spans="1:2" ht="12.75" customHeight="1" x14ac:dyDescent="0.2">
      <c r="A16" s="66" t="s">
        <v>81</v>
      </c>
      <c r="B16" s="1392"/>
    </row>
    <row r="17" spans="1:2" ht="12.75" customHeight="1" x14ac:dyDescent="0.2">
      <c r="A17" s="1393" t="s">
        <v>703</v>
      </c>
      <c r="B17" s="69">
        <f>(-E!R32*0.15)*(F.3!F78/F.3!F66)</f>
        <v>-1195351.5098576301</v>
      </c>
    </row>
    <row r="18" spans="1:2" ht="12.75" customHeight="1" x14ac:dyDescent="0.2">
      <c r="A18" s="1388" t="s">
        <v>87</v>
      </c>
      <c r="B18" s="1126">
        <f>B30</f>
        <v>141594.40928171482</v>
      </c>
    </row>
    <row r="19" spans="1:2" ht="12.75" customHeight="1" x14ac:dyDescent="0.2">
      <c r="A19" s="74"/>
      <c r="B19" s="1394"/>
    </row>
    <row r="20" spans="1:2" ht="12.75" customHeight="1" x14ac:dyDescent="0.2">
      <c r="A20" s="1395" t="s">
        <v>88</v>
      </c>
      <c r="B20" s="77">
        <f>SUM(B15:B19)</f>
        <v>5247194.1124604065</v>
      </c>
    </row>
    <row r="21" spans="1:2" ht="5.25" customHeight="1" x14ac:dyDescent="0.2">
      <c r="A21" s="1396"/>
      <c r="B21" s="79"/>
    </row>
    <row r="22" spans="1:2" ht="15" customHeight="1" x14ac:dyDescent="0.2">
      <c r="A22" s="1397" t="s">
        <v>89</v>
      </c>
      <c r="B22" s="82">
        <f>+B25/B24</f>
        <v>3.8429734516169274E-2</v>
      </c>
    </row>
    <row r="23" spans="1:2" x14ac:dyDescent="0.2">
      <c r="A23" s="1398"/>
      <c r="B23" s="85"/>
    </row>
    <row r="24" spans="1:2" x14ac:dyDescent="0.2">
      <c r="A24" s="1399" t="s">
        <v>70</v>
      </c>
      <c r="B24" s="85">
        <f>+B!B32</f>
        <v>186.15</v>
      </c>
    </row>
    <row r="25" spans="1:2" ht="12" customHeight="1" x14ac:dyDescent="0.2">
      <c r="A25" s="1400" t="s">
        <v>704</v>
      </c>
      <c r="B25" s="1228">
        <f>B20/B27</f>
        <v>7.1536950801849102</v>
      </c>
    </row>
    <row r="26" spans="1:2" x14ac:dyDescent="0.2">
      <c r="A26" s="1398"/>
      <c r="B26" s="91"/>
    </row>
    <row r="27" spans="1:2" x14ac:dyDescent="0.2">
      <c r="A27" s="93" t="s">
        <v>90</v>
      </c>
      <c r="B27" s="94">
        <f>+CS1_F.1!B19</f>
        <v>733494.23670498072</v>
      </c>
    </row>
    <row r="28" spans="1:2" x14ac:dyDescent="0.2">
      <c r="A28" s="1398"/>
      <c r="B28" s="85"/>
    </row>
    <row r="29" spans="1:2" ht="16.5" customHeight="1" x14ac:dyDescent="0.2">
      <c r="A29" s="1401" t="s">
        <v>91</v>
      </c>
      <c r="B29" s="97">
        <v>6442545.6223180369</v>
      </c>
    </row>
    <row r="30" spans="1:2" x14ac:dyDescent="0.2">
      <c r="A30" s="1401" t="s">
        <v>92</v>
      </c>
      <c r="B30" s="99">
        <v>141594.40928171482</v>
      </c>
    </row>
    <row r="31" spans="1:2" x14ac:dyDescent="0.2">
      <c r="A31" s="101"/>
      <c r="B31" s="1402"/>
    </row>
    <row r="32" spans="1:2" x14ac:dyDescent="0.2">
      <c r="A32" s="1403" t="s">
        <v>93</v>
      </c>
      <c r="B32" s="77">
        <v>5247194.1124604065</v>
      </c>
    </row>
    <row r="33" spans="1:3" x14ac:dyDescent="0.2">
      <c r="A33" s="105"/>
      <c r="B33" s="106"/>
    </row>
    <row r="34" spans="1:3" x14ac:dyDescent="0.2">
      <c r="C34" s="108"/>
    </row>
  </sheetData>
  <pageMargins left="1" right="0.75" top="0.75" bottom="0.5" header="0.5" footer="0.5"/>
  <pageSetup orientation="portrait" r:id="rId1"/>
  <headerFooter>
    <oddFooter>&amp;L&amp;KFF0000Final Rate Application&amp;CPage &amp;P of &amp;N&amp;R02/10/2017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Q55"/>
  <sheetViews>
    <sheetView workbookViewId="0"/>
  </sheetViews>
  <sheetFormatPr defaultRowHeight="12.75" x14ac:dyDescent="0.2"/>
  <cols>
    <col min="1" max="1" width="33.42578125" style="28" customWidth="1" collapsed="1"/>
    <col min="2" max="2" width="9" style="28" bestFit="1" customWidth="1"/>
    <col min="3" max="3" width="13.7109375" style="28" customWidth="1"/>
    <col min="4" max="16384" width="9.140625" style="28"/>
  </cols>
  <sheetData>
    <row r="1" spans="1:17" x14ac:dyDescent="0.2">
      <c r="A1" s="112" t="str">
        <f>'CS1_B '!$A$2</f>
        <v>Recology San Francisco</v>
      </c>
    </row>
    <row r="2" spans="1:17" x14ac:dyDescent="0.2">
      <c r="A2" s="1404" t="s">
        <v>705</v>
      </c>
    </row>
    <row r="3" spans="1:17" x14ac:dyDescent="0.2">
      <c r="A3" s="113" t="s">
        <v>96</v>
      </c>
    </row>
    <row r="4" spans="1:17" x14ac:dyDescent="0.2">
      <c r="A4" s="117" t="str">
        <f>D!A3</f>
        <v>Total Operating Expenses</v>
      </c>
      <c r="C4" s="29"/>
    </row>
    <row r="6" spans="1:17" s="29" customFormat="1" x14ac:dyDescent="0.2">
      <c r="A6" s="349"/>
      <c r="C6" s="124"/>
      <c r="D6" s="28"/>
      <c r="E6" s="28"/>
      <c r="F6" s="28"/>
      <c r="G6" s="406"/>
      <c r="H6" s="28"/>
      <c r="I6" s="28"/>
      <c r="J6" s="28"/>
      <c r="K6" s="28"/>
      <c r="L6" s="28"/>
      <c r="M6" s="28"/>
      <c r="N6" s="28"/>
      <c r="O6" s="28"/>
      <c r="P6" s="28"/>
      <c r="Q6" s="406"/>
    </row>
    <row r="7" spans="1:17" s="29" customFormat="1" ht="18" customHeight="1" x14ac:dyDescent="0.2">
      <c r="A7" s="349"/>
      <c r="C7" s="19" t="s">
        <v>69</v>
      </c>
      <c r="D7" s="28"/>
      <c r="E7" s="28"/>
      <c r="F7" s="28"/>
      <c r="G7" s="406"/>
      <c r="H7" s="28"/>
      <c r="I7" s="28"/>
      <c r="J7" s="28"/>
      <c r="K7" s="28"/>
      <c r="L7" s="28"/>
      <c r="M7" s="28"/>
      <c r="N7" s="28"/>
      <c r="O7" s="28"/>
      <c r="P7" s="28"/>
      <c r="Q7" s="406"/>
    </row>
    <row r="8" spans="1:17" ht="29.25" customHeight="1" x14ac:dyDescent="0.2">
      <c r="A8" s="1405" t="s">
        <v>106</v>
      </c>
      <c r="B8" s="131" t="s">
        <v>101</v>
      </c>
      <c r="C8" s="1406" t="s">
        <v>105</v>
      </c>
    </row>
    <row r="9" spans="1:17" x14ac:dyDescent="0.2">
      <c r="A9" s="139"/>
      <c r="B9" s="140"/>
      <c r="C9" s="140"/>
    </row>
    <row r="10" spans="1:17" x14ac:dyDescent="0.2">
      <c r="A10" s="144" t="str">
        <f>D!A9</f>
        <v xml:space="preserve">  Payroll                     </v>
      </c>
      <c r="B10" s="158" t="s">
        <v>23</v>
      </c>
      <c r="C10" s="1407">
        <f>CS1_G.1!C21</f>
        <v>720480</v>
      </c>
    </row>
    <row r="11" spans="1:17" x14ac:dyDescent="0.2">
      <c r="A11" s="147" t="str">
        <f>D!A10</f>
        <v xml:space="preserve">  Payroll Taxes               </v>
      </c>
      <c r="B11" s="145"/>
      <c r="C11" s="94">
        <f>D!G10/D!G9*C10</f>
        <v>56329.543467031137</v>
      </c>
      <c r="D11" s="115"/>
    </row>
    <row r="12" spans="1:17" x14ac:dyDescent="0.2">
      <c r="A12" s="144" t="str">
        <f>D!A11</f>
        <v xml:space="preserve">  Pension                     </v>
      </c>
      <c r="B12" s="145"/>
      <c r="C12" s="94">
        <f>G.2!E12/G.1!J20*2</f>
        <v>24030.368763557482</v>
      </c>
      <c r="D12" s="115"/>
    </row>
    <row r="13" spans="1:17" x14ac:dyDescent="0.2">
      <c r="A13" s="147" t="str">
        <f>D!A12</f>
        <v xml:space="preserve">  Health Insurance            </v>
      </c>
      <c r="B13" s="145"/>
      <c r="C13" s="94">
        <f>2*G.3!E10</f>
        <v>50442.345682030907</v>
      </c>
    </row>
    <row r="14" spans="1:17" x14ac:dyDescent="0.2">
      <c r="A14" s="150" t="str">
        <f>D!A13</f>
        <v xml:space="preserve">  Workers Compensation        </v>
      </c>
      <c r="B14" s="145"/>
      <c r="C14" s="94">
        <f>G.4!F8*C10</f>
        <v>57392.351088671196</v>
      </c>
      <c r="D14" s="115"/>
    </row>
    <row r="15" spans="1:17" ht="15.75" customHeight="1" x14ac:dyDescent="0.2">
      <c r="A15" s="155" t="s">
        <v>112</v>
      </c>
      <c r="B15" s="152"/>
      <c r="C15" s="153">
        <f>SUM(C10:C14)</f>
        <v>908674.60900129075</v>
      </c>
    </row>
    <row r="16" spans="1:17" x14ac:dyDescent="0.2">
      <c r="A16" s="147" t="str">
        <f>D!A15</f>
        <v xml:space="preserve">  Bad Debt                    </v>
      </c>
      <c r="B16" s="156"/>
      <c r="C16" s="157">
        <v>0</v>
      </c>
    </row>
    <row r="17" spans="1:3" x14ac:dyDescent="0.2">
      <c r="A17" s="147" t="str">
        <f>D!A16</f>
        <v xml:space="preserve">  Bridge Tolls</v>
      </c>
      <c r="B17" s="145"/>
      <c r="C17" s="148">
        <v>0</v>
      </c>
    </row>
    <row r="18" spans="1:3" x14ac:dyDescent="0.2">
      <c r="A18" s="147" t="str">
        <f>D!A17</f>
        <v xml:space="preserve">  Building &amp; Facility Repair    </v>
      </c>
      <c r="B18" s="145"/>
      <c r="C18" s="148">
        <v>0</v>
      </c>
    </row>
    <row r="19" spans="1:3" x14ac:dyDescent="0.2">
      <c r="A19" s="147" t="str">
        <f>D!A18</f>
        <v xml:space="preserve">  Contract Services </v>
      </c>
      <c r="B19" s="145"/>
      <c r="C19" s="148">
        <v>0</v>
      </c>
    </row>
    <row r="20" spans="1:3" x14ac:dyDescent="0.2">
      <c r="A20" s="147" t="str">
        <f>D!A19</f>
        <v xml:space="preserve">  Corporate Accounting Services</v>
      </c>
      <c r="B20" s="158"/>
      <c r="C20" s="148">
        <v>0</v>
      </c>
    </row>
    <row r="21" spans="1:3" x14ac:dyDescent="0.2">
      <c r="A21" s="147" t="str">
        <f>D!A20</f>
        <v xml:space="preserve">  Corporate Management</v>
      </c>
      <c r="B21" s="158"/>
      <c r="C21" s="94">
        <v>0</v>
      </c>
    </row>
    <row r="22" spans="1:3" x14ac:dyDescent="0.2">
      <c r="A22" s="147" t="str">
        <f>D!A21</f>
        <v xml:space="preserve">  Depreciation</v>
      </c>
      <c r="B22" s="145" t="s">
        <v>31</v>
      </c>
      <c r="C22" s="148">
        <f>+CS1_H.1!B10</f>
        <v>3169613.7</v>
      </c>
    </row>
    <row r="23" spans="1:3" x14ac:dyDescent="0.2">
      <c r="A23" s="147" t="str">
        <f>D!A22</f>
        <v xml:space="preserve">  Environmental Compliance </v>
      </c>
      <c r="B23" s="158"/>
      <c r="C23" s="148">
        <v>0</v>
      </c>
    </row>
    <row r="24" spans="1:3" x14ac:dyDescent="0.2">
      <c r="A24" s="147" t="str">
        <f>D!A23</f>
        <v xml:space="preserve">  Freight </v>
      </c>
      <c r="B24" s="145"/>
      <c r="C24" s="148">
        <v>0</v>
      </c>
    </row>
    <row r="25" spans="1:3" x14ac:dyDescent="0.2">
      <c r="A25" s="147" t="str">
        <f>D!A24</f>
        <v xml:space="preserve">  Fuel</v>
      </c>
      <c r="B25" s="158"/>
      <c r="C25" s="148">
        <f>4500*12/24.5*5.3/4.5*L.3!F32</f>
        <v>6855.5731008738503</v>
      </c>
    </row>
    <row r="26" spans="1:3" x14ac:dyDescent="0.2">
      <c r="A26" s="147" t="str">
        <f>D!A25</f>
        <v xml:space="preserve">  Human Resources </v>
      </c>
      <c r="B26" s="158"/>
      <c r="C26" s="94">
        <v>0</v>
      </c>
    </row>
    <row r="27" spans="1:3" x14ac:dyDescent="0.2">
      <c r="A27" s="147" t="str">
        <f>D!A26</f>
        <v xml:space="preserve">  I/C Processing &amp; Disposal             </v>
      </c>
      <c r="B27" s="158"/>
      <c r="C27" s="148">
        <v>0</v>
      </c>
    </row>
    <row r="28" spans="1:3" x14ac:dyDescent="0.2">
      <c r="A28" s="147" t="str">
        <f>D!A27</f>
        <v xml:space="preserve">  IT Services</v>
      </c>
      <c r="B28" s="158"/>
      <c r="C28" s="148">
        <v>0</v>
      </c>
    </row>
    <row r="29" spans="1:3" x14ac:dyDescent="0.2">
      <c r="A29" s="147" t="str">
        <f>D!A28</f>
        <v xml:space="preserve">  Lease </v>
      </c>
      <c r="B29" s="145" t="s">
        <v>31</v>
      </c>
      <c r="C29" s="148">
        <f>CS1_H.2!D21</f>
        <v>182084.43236766965</v>
      </c>
    </row>
    <row r="30" spans="1:3" x14ac:dyDescent="0.2">
      <c r="A30" s="147" t="str">
        <f>D!A29</f>
        <v xml:space="preserve">  Liability Insurance         </v>
      </c>
      <c r="B30" s="145"/>
      <c r="C30" s="148">
        <f>2/G.1!J20*I!F8</f>
        <v>3816.9721518391916</v>
      </c>
    </row>
    <row r="31" spans="1:3" x14ac:dyDescent="0.2">
      <c r="A31" s="147" t="str">
        <f>D!A30</f>
        <v xml:space="preserve">  Licenses &amp; Permits        </v>
      </c>
      <c r="B31" s="145"/>
      <c r="C31" s="148">
        <v>0</v>
      </c>
    </row>
    <row r="32" spans="1:3" x14ac:dyDescent="0.2">
      <c r="A32" s="147" t="str">
        <f>D!A31</f>
        <v xml:space="preserve">  O/S Disposal </v>
      </c>
      <c r="B32" s="158"/>
      <c r="C32" s="148">
        <f>-E!R32*0.15*32</f>
        <v>-404309.68275862059</v>
      </c>
    </row>
    <row r="33" spans="1:5" x14ac:dyDescent="0.2">
      <c r="A33" s="147" t="str">
        <f>D!A32</f>
        <v xml:space="preserve">  O/S Equipment Rental</v>
      </c>
      <c r="B33" s="145"/>
      <c r="C33" s="148">
        <v>0</v>
      </c>
    </row>
    <row r="34" spans="1:5" x14ac:dyDescent="0.2">
      <c r="A34" s="147" t="str">
        <f>D!A33</f>
        <v xml:space="preserve">  O/S Processing</v>
      </c>
      <c r="B34" s="145"/>
      <c r="C34" s="148">
        <v>0</v>
      </c>
    </row>
    <row r="35" spans="1:5" x14ac:dyDescent="0.2">
      <c r="A35" s="147" t="str">
        <f>D!A34</f>
        <v xml:space="preserve">  Office               </v>
      </c>
      <c r="B35" s="145"/>
      <c r="C35" s="148">
        <v>0</v>
      </c>
    </row>
    <row r="36" spans="1:5" x14ac:dyDescent="0.2">
      <c r="A36" s="144" t="str">
        <f>D!A35</f>
        <v xml:space="preserve">  Parts                       </v>
      </c>
      <c r="B36" s="145"/>
      <c r="C36" s="148">
        <v>0</v>
      </c>
    </row>
    <row r="37" spans="1:5" x14ac:dyDescent="0.2">
      <c r="A37" s="144" t="str">
        <f>D!A36</f>
        <v xml:space="preserve">  Postage                     </v>
      </c>
      <c r="B37" s="145"/>
      <c r="C37" s="148">
        <v>0</v>
      </c>
    </row>
    <row r="38" spans="1:5" x14ac:dyDescent="0.2">
      <c r="A38" s="147" t="str">
        <f>D!A37</f>
        <v xml:space="preserve">  Professional Services       </v>
      </c>
      <c r="B38" s="158"/>
      <c r="C38" s="148">
        <v>0</v>
      </c>
    </row>
    <row r="39" spans="1:5" ht="15" x14ac:dyDescent="0.2">
      <c r="A39" s="147" t="str">
        <f>D!A38</f>
        <v xml:space="preserve">  Property Rental             </v>
      </c>
      <c r="B39" s="145"/>
      <c r="C39" s="148">
        <v>1742130</v>
      </c>
      <c r="E39" s="1408"/>
    </row>
    <row r="40" spans="1:5" x14ac:dyDescent="0.2">
      <c r="A40" s="144" t="str">
        <f>D!A39</f>
        <v xml:space="preserve">  Repairs &amp; Maintenance</v>
      </c>
      <c r="B40" s="145"/>
      <c r="C40" s="148">
        <v>0</v>
      </c>
    </row>
    <row r="41" spans="1:5" x14ac:dyDescent="0.2">
      <c r="A41" s="147" t="str">
        <f>D!A40</f>
        <v xml:space="preserve">  Security &amp; Janitorial       </v>
      </c>
      <c r="B41" s="145"/>
      <c r="C41" s="148">
        <v>125000</v>
      </c>
    </row>
    <row r="42" spans="1:5" x14ac:dyDescent="0.2">
      <c r="A42" s="144" t="str">
        <f>D!A41</f>
        <v xml:space="preserve">  Supplies                    </v>
      </c>
      <c r="B42" s="145"/>
      <c r="C42" s="148">
        <v>0</v>
      </c>
    </row>
    <row r="43" spans="1:5" x14ac:dyDescent="0.2">
      <c r="A43" s="144" t="str">
        <f>D!A42</f>
        <v xml:space="preserve">  Taxes                       </v>
      </c>
      <c r="B43" s="145"/>
      <c r="C43" s="148">
        <v>0</v>
      </c>
    </row>
    <row r="44" spans="1:5" x14ac:dyDescent="0.2">
      <c r="A44" s="147" t="str">
        <f>D!A43</f>
        <v xml:space="preserve">  Technology</v>
      </c>
      <c r="B44" s="158"/>
      <c r="C44" s="94">
        <v>0</v>
      </c>
    </row>
    <row r="45" spans="1:5" x14ac:dyDescent="0.2">
      <c r="A45" s="144" t="str">
        <f>D!A44</f>
        <v xml:space="preserve">  Telephone                   </v>
      </c>
      <c r="B45" s="145"/>
      <c r="C45" s="148">
        <v>0</v>
      </c>
    </row>
    <row r="46" spans="1:5" x14ac:dyDescent="0.2">
      <c r="A46" s="147" t="str">
        <f>D!A45</f>
        <v xml:space="preserve">  Tires &amp; Tubes               </v>
      </c>
      <c r="B46" s="145"/>
      <c r="C46" s="148">
        <v>0</v>
      </c>
    </row>
    <row r="47" spans="1:5" x14ac:dyDescent="0.2">
      <c r="A47" s="144" t="str">
        <f>D!A46</f>
        <v xml:space="preserve">  Utilities                   </v>
      </c>
      <c r="B47" s="145"/>
      <c r="C47" s="148">
        <v>0</v>
      </c>
    </row>
    <row r="48" spans="1:5" x14ac:dyDescent="0.2">
      <c r="A48" s="147" t="str">
        <f>D!A47</f>
        <v xml:space="preserve">  Other               </v>
      </c>
      <c r="B48" s="145"/>
      <c r="C48" s="148">
        <v>0</v>
      </c>
    </row>
    <row r="49" spans="1:3" x14ac:dyDescent="0.2">
      <c r="A49" s="151" t="s">
        <v>10</v>
      </c>
      <c r="B49" s="162"/>
      <c r="C49" s="163">
        <f>SUM(C15:C48)</f>
        <v>5733865.603863053</v>
      </c>
    </row>
    <row r="50" spans="1:3" s="165" customFormat="1" x14ac:dyDescent="0.2">
      <c r="C50" s="114"/>
    </row>
    <row r="51" spans="1:3" x14ac:dyDescent="0.2">
      <c r="A51" s="166" t="s">
        <v>150</v>
      </c>
    </row>
    <row r="52" spans="1:3" x14ac:dyDescent="0.2">
      <c r="A52" s="166" t="s">
        <v>151</v>
      </c>
      <c r="C52" s="343"/>
    </row>
    <row r="53" spans="1:3" ht="4.5" customHeight="1" x14ac:dyDescent="0.2">
      <c r="A53" s="166"/>
      <c r="C53" s="1357"/>
    </row>
    <row r="54" spans="1:3" ht="13.5" thickBot="1" x14ac:dyDescent="0.25">
      <c r="A54" s="166" t="s">
        <v>76</v>
      </c>
      <c r="C54" s="173">
        <f>SUM(C49:C53)</f>
        <v>5733865.603863053</v>
      </c>
    </row>
    <row r="55" spans="1:3" ht="13.5" thickTop="1" x14ac:dyDescent="0.2">
      <c r="C55" s="174"/>
    </row>
  </sheetData>
  <autoFilter ref="B8:B49"/>
  <pageMargins left="1" right="0.75" top="0.75" bottom="0.5" header="0.5" footer="0.5"/>
  <pageSetup scale="89" orientation="portrait" r:id="rId1"/>
  <headerFooter>
    <oddFooter>&amp;L&amp;KFF0000Final Rate Application&amp;CPage &amp;P of &amp;N&amp;R02/10/2017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D34"/>
  <sheetViews>
    <sheetView workbookViewId="0"/>
  </sheetViews>
  <sheetFormatPr defaultRowHeight="15" customHeight="1" x14ac:dyDescent="0.2"/>
  <cols>
    <col min="1" max="1" width="47.85546875" style="260" customWidth="1" collapsed="1"/>
    <col min="2" max="2" width="18.140625" style="262" customWidth="1"/>
    <col min="3" max="3" width="13.5703125" style="260" customWidth="1"/>
    <col min="4" max="4" width="12" style="260" customWidth="1"/>
    <col min="5" max="16384" width="9.140625" style="260"/>
  </cols>
  <sheetData>
    <row r="1" spans="1:4" ht="15" customHeight="1" x14ac:dyDescent="0.2">
      <c r="A1" s="261" t="s">
        <v>0</v>
      </c>
    </row>
    <row r="2" spans="1:4" ht="15" customHeight="1" x14ac:dyDescent="0.2">
      <c r="A2" s="1404" t="s">
        <v>705</v>
      </c>
    </row>
    <row r="3" spans="1:4" ht="15" customHeight="1" x14ac:dyDescent="0.2">
      <c r="A3" s="260" t="s">
        <v>706</v>
      </c>
    </row>
    <row r="4" spans="1:4" ht="15" customHeight="1" x14ac:dyDescent="0.2">
      <c r="A4" s="265" t="str">
        <f>F.1!A3</f>
        <v>Historical and Projected Tipping Charge Revenues</v>
      </c>
    </row>
    <row r="6" spans="1:4" s="269" customFormat="1" ht="18" customHeight="1" x14ac:dyDescent="0.2">
      <c r="A6" s="1409"/>
      <c r="B6" s="273" t="s">
        <v>69</v>
      </c>
    </row>
    <row r="7" spans="1:4" ht="15" customHeight="1" x14ac:dyDescent="0.2">
      <c r="A7" s="1410" t="s">
        <v>210</v>
      </c>
      <c r="B7" s="1411"/>
    </row>
    <row r="8" spans="1:4" ht="15.95" customHeight="1" x14ac:dyDescent="0.2">
      <c r="A8" s="279" t="s">
        <v>212</v>
      </c>
      <c r="B8" s="280"/>
    </row>
    <row r="9" spans="1:4" ht="15.95" customHeight="1" x14ac:dyDescent="0.2">
      <c r="A9" s="279" t="s">
        <v>213</v>
      </c>
      <c r="B9" s="281">
        <f>+F.1!F9</f>
        <v>145737.59187739465</v>
      </c>
      <c r="C9" s="298"/>
      <c r="D9" s="298"/>
    </row>
    <row r="10" spans="1:4" ht="15.95" customHeight="1" x14ac:dyDescent="0.2">
      <c r="A10" s="279" t="s">
        <v>214</v>
      </c>
      <c r="B10" s="281">
        <f>+F.1!F10</f>
        <v>172766.1551724138</v>
      </c>
      <c r="C10" s="298"/>
      <c r="D10" s="298"/>
    </row>
    <row r="11" spans="1:4" ht="15.95" customHeight="1" x14ac:dyDescent="0.2">
      <c r="A11" s="284" t="s">
        <v>216</v>
      </c>
      <c r="B11" s="281">
        <f>+F.1!F11</f>
        <v>72834.0191570881</v>
      </c>
      <c r="C11" s="298"/>
      <c r="D11" s="298"/>
    </row>
    <row r="12" spans="1:4" ht="15.95" customHeight="1" x14ac:dyDescent="0.2">
      <c r="A12" s="279" t="s">
        <v>218</v>
      </c>
      <c r="B12" s="281">
        <f>+F.1!F12</f>
        <v>264137.38850574708</v>
      </c>
      <c r="C12" s="298"/>
      <c r="D12" s="298"/>
    </row>
    <row r="13" spans="1:4" ht="15.95" customHeight="1" x14ac:dyDescent="0.2">
      <c r="A13" s="279" t="s">
        <v>220</v>
      </c>
      <c r="B13" s="281">
        <f>+F.1!F13</f>
        <v>13403.617624521074</v>
      </c>
      <c r="C13" s="298"/>
      <c r="D13" s="298"/>
    </row>
    <row r="14" spans="1:4" ht="15.95" customHeight="1" x14ac:dyDescent="0.2">
      <c r="A14" s="1412" t="s">
        <v>221</v>
      </c>
      <c r="B14" s="1411">
        <f>SUM(B9:B13)</f>
        <v>668878.77233716461</v>
      </c>
      <c r="C14" s="298"/>
      <c r="D14" s="298"/>
    </row>
    <row r="15" spans="1:4" ht="15.95" customHeight="1" x14ac:dyDescent="0.2">
      <c r="A15" s="279" t="s">
        <v>222</v>
      </c>
      <c r="B15" s="281">
        <f>+F.1!$F15</f>
        <v>38484.213793103452</v>
      </c>
      <c r="C15" s="298"/>
      <c r="D15" s="298"/>
    </row>
    <row r="16" spans="1:4" ht="15.95" customHeight="1" x14ac:dyDescent="0.2">
      <c r="A16" s="279" t="s">
        <v>223</v>
      </c>
      <c r="B16" s="281">
        <f>+F.1!$F16</f>
        <v>24619.25057471266</v>
      </c>
      <c r="C16" s="298"/>
      <c r="D16" s="298"/>
    </row>
    <row r="17" spans="1:4" ht="15.95" customHeight="1" x14ac:dyDescent="0.2">
      <c r="A17" s="1412" t="s">
        <v>224</v>
      </c>
      <c r="B17" s="1411">
        <f>B14+B15+B16</f>
        <v>731982.23670498072</v>
      </c>
      <c r="C17" s="298"/>
      <c r="D17" s="298"/>
    </row>
    <row r="18" spans="1:4" ht="15.95" customHeight="1" x14ac:dyDescent="0.2">
      <c r="A18" s="279" t="s">
        <v>225</v>
      </c>
      <c r="B18" s="280">
        <v>1512</v>
      </c>
      <c r="C18" s="298"/>
      <c r="D18" s="298"/>
    </row>
    <row r="19" spans="1:4" ht="15.95" customHeight="1" x14ac:dyDescent="0.2">
      <c r="A19" s="1413" t="s">
        <v>226</v>
      </c>
      <c r="B19" s="1414">
        <f>B17+B18</f>
        <v>733494.23670498072</v>
      </c>
      <c r="C19" s="282"/>
      <c r="D19" s="298"/>
    </row>
    <row r="20" spans="1:4" ht="15.95" customHeight="1" x14ac:dyDescent="0.2">
      <c r="A20" s="294" t="s">
        <v>228</v>
      </c>
      <c r="B20" s="295">
        <f>+'CS1_B '!B25</f>
        <v>7.1536950801849102</v>
      </c>
      <c r="C20" s="1415"/>
    </row>
    <row r="21" spans="1:4" ht="15.95" customHeight="1" x14ac:dyDescent="0.2">
      <c r="A21" s="1410" t="s">
        <v>229</v>
      </c>
      <c r="B21" s="280"/>
    </row>
    <row r="22" spans="1:4" ht="15.95" customHeight="1" x14ac:dyDescent="0.2">
      <c r="A22" s="279" t="s">
        <v>212</v>
      </c>
      <c r="B22" s="280"/>
    </row>
    <row r="23" spans="1:4" ht="15.95" customHeight="1" x14ac:dyDescent="0.2">
      <c r="A23" s="279" t="s">
        <v>213</v>
      </c>
      <c r="B23" s="336">
        <f>+B9*B$20</f>
        <v>1042562.2940113144</v>
      </c>
    </row>
    <row r="24" spans="1:4" ht="15.95" customHeight="1" x14ac:dyDescent="0.2">
      <c r="A24" s="279" t="s">
        <v>214</v>
      </c>
      <c r="B24" s="281">
        <f>+B10*B$20</f>
        <v>1235916.3942793594</v>
      </c>
    </row>
    <row r="25" spans="1:4" ht="15.95" customHeight="1" x14ac:dyDescent="0.2">
      <c r="A25" s="284" t="s">
        <v>216</v>
      </c>
      <c r="B25" s="281">
        <f>+B11*B$20</f>
        <v>521032.36451415461</v>
      </c>
    </row>
    <row r="26" spans="1:4" ht="15.95" customHeight="1" x14ac:dyDescent="0.2">
      <c r="A26" s="279" t="s">
        <v>218</v>
      </c>
      <c r="B26" s="281">
        <f>+B12*B$20</f>
        <v>1889558.336646453</v>
      </c>
    </row>
    <row r="27" spans="1:4" ht="15.95" customHeight="1" x14ac:dyDescent="0.2">
      <c r="A27" s="279" t="s">
        <v>220</v>
      </c>
      <c r="B27" s="281">
        <f>+B13*B$20</f>
        <v>95885.393457216152</v>
      </c>
    </row>
    <row r="28" spans="1:4" ht="15.95" customHeight="1" x14ac:dyDescent="0.2">
      <c r="A28" s="1412" t="s">
        <v>221</v>
      </c>
      <c r="B28" s="1411">
        <f>SUM(B23:B27)</f>
        <v>4784954.7829084983</v>
      </c>
    </row>
    <row r="29" spans="1:4" ht="15.95" customHeight="1" x14ac:dyDescent="0.2">
      <c r="A29" s="279" t="s">
        <v>222</v>
      </c>
      <c r="B29" s="281">
        <f>+B15*B$20</f>
        <v>275304.33087650844</v>
      </c>
    </row>
    <row r="30" spans="1:4" ht="15.95" customHeight="1" x14ac:dyDescent="0.2">
      <c r="A30" s="279" t="s">
        <v>223</v>
      </c>
      <c r="B30" s="281">
        <f>+B16*B$20</f>
        <v>176118.61171416147</v>
      </c>
    </row>
    <row r="31" spans="1:4" ht="15.95" customHeight="1" x14ac:dyDescent="0.2">
      <c r="A31" s="1412" t="s">
        <v>230</v>
      </c>
      <c r="B31" s="1411">
        <f>B28+B29+B30</f>
        <v>5236377.725499168</v>
      </c>
    </row>
    <row r="32" spans="1:4" ht="15.95" customHeight="1" x14ac:dyDescent="0.2">
      <c r="A32" s="279" t="s">
        <v>232</v>
      </c>
      <c r="B32" s="281">
        <f>+B18*B$20</f>
        <v>10816.386961239585</v>
      </c>
    </row>
    <row r="33" spans="1:4" ht="15.95" customHeight="1" x14ac:dyDescent="0.2">
      <c r="A33" s="296" t="s">
        <v>234</v>
      </c>
      <c r="B33" s="1416">
        <f>SUM(B31:B32)</f>
        <v>5247194.1124604074</v>
      </c>
      <c r="C33" s="282"/>
      <c r="D33" s="298"/>
    </row>
    <row r="34" spans="1:4" ht="15.95" customHeight="1" x14ac:dyDescent="0.2"/>
  </sheetData>
  <pageMargins left="1" right="0.75" top="0.75" bottom="0.5" header="0.5" footer="0.5"/>
  <pageSetup orientation="portrait" r:id="rId1"/>
  <headerFooter>
    <oddFooter>&amp;L&amp;KFF0000Final Rate Application&amp;CPage &amp;P of &amp;N&amp;R02/10/2017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22"/>
  <sheetViews>
    <sheetView zoomScaleNormal="100" workbookViewId="0"/>
  </sheetViews>
  <sheetFormatPr defaultRowHeight="12.75" x14ac:dyDescent="0.2"/>
  <cols>
    <col min="1" max="1" width="24.7109375" bestFit="1" customWidth="1"/>
    <col min="2" max="2" width="10" customWidth="1"/>
    <col min="3" max="3" width="18.85546875" customWidth="1"/>
  </cols>
  <sheetData>
    <row r="1" spans="1:5" x14ac:dyDescent="0.2">
      <c r="A1" s="112" t="str">
        <f>CS2_B!$A$2</f>
        <v>Recology San Francisco</v>
      </c>
    </row>
    <row r="2" spans="1:5" ht="15" x14ac:dyDescent="0.25">
      <c r="A2" s="1384" t="s">
        <v>66</v>
      </c>
    </row>
    <row r="3" spans="1:5" x14ac:dyDescent="0.2">
      <c r="A3" s="706" t="s">
        <v>707</v>
      </c>
    </row>
    <row r="4" spans="1:5" x14ac:dyDescent="0.2">
      <c r="A4" s="1417" t="str">
        <f>G.1!$A$3</f>
        <v>Payroll Headcount and Expenses</v>
      </c>
    </row>
    <row r="5" spans="1:5" x14ac:dyDescent="0.2">
      <c r="A5" s="1418"/>
    </row>
    <row r="8" spans="1:5" x14ac:dyDescent="0.2">
      <c r="A8" s="302" t="s">
        <v>2</v>
      </c>
      <c r="B8" s="1419"/>
      <c r="C8" s="19" t="s">
        <v>69</v>
      </c>
    </row>
    <row r="9" spans="1:5" x14ac:dyDescent="0.2">
      <c r="A9" s="448" t="s">
        <v>300</v>
      </c>
      <c r="B9" s="443" t="s">
        <v>297</v>
      </c>
      <c r="C9" s="1420" t="s">
        <v>205</v>
      </c>
    </row>
    <row r="10" spans="1:5" x14ac:dyDescent="0.2">
      <c r="A10" s="1421" t="s">
        <v>301</v>
      </c>
      <c r="B10" s="1484">
        <v>1</v>
      </c>
      <c r="C10" s="1423">
        <v>90000</v>
      </c>
      <c r="E10" s="1424"/>
    </row>
    <row r="11" spans="1:5" x14ac:dyDescent="0.2">
      <c r="A11" s="460" t="s">
        <v>302</v>
      </c>
      <c r="B11" s="1485">
        <v>2</v>
      </c>
      <c r="C11" s="464">
        <v>150000</v>
      </c>
      <c r="E11" s="1424"/>
    </row>
    <row r="12" spans="1:5" x14ac:dyDescent="0.2">
      <c r="A12" s="465" t="s">
        <v>303</v>
      </c>
      <c r="B12" s="1485">
        <v>0</v>
      </c>
      <c r="C12" s="464">
        <v>0</v>
      </c>
      <c r="E12" s="1424"/>
    </row>
    <row r="13" spans="1:5" x14ac:dyDescent="0.2">
      <c r="A13" s="465" t="s">
        <v>304</v>
      </c>
      <c r="B13" s="1485">
        <v>2</v>
      </c>
      <c r="C13" s="464">
        <v>187200</v>
      </c>
      <c r="E13" s="1424"/>
    </row>
    <row r="14" spans="1:5" x14ac:dyDescent="0.2">
      <c r="A14" s="460" t="s">
        <v>305</v>
      </c>
      <c r="B14" s="1485">
        <v>5</v>
      </c>
      <c r="C14" s="464">
        <v>405600</v>
      </c>
      <c r="E14" s="1424"/>
    </row>
    <row r="15" spans="1:5" x14ac:dyDescent="0.2">
      <c r="A15" s="460" t="s">
        <v>306</v>
      </c>
      <c r="B15" s="1486">
        <v>6</v>
      </c>
      <c r="C15" s="464">
        <v>474240</v>
      </c>
      <c r="E15" s="1424"/>
    </row>
    <row r="16" spans="1:5" x14ac:dyDescent="0.2">
      <c r="A16" s="465" t="s">
        <v>307</v>
      </c>
      <c r="B16" s="1486">
        <v>-16</v>
      </c>
      <c r="C16" s="464">
        <v>-765440</v>
      </c>
      <c r="E16" s="1424"/>
    </row>
    <row r="17" spans="1:5" x14ac:dyDescent="0.2">
      <c r="A17" s="465" t="s">
        <v>308</v>
      </c>
      <c r="B17" s="1485">
        <v>0</v>
      </c>
      <c r="C17" s="464">
        <v>0</v>
      </c>
      <c r="E17" s="1424"/>
    </row>
    <row r="18" spans="1:5" x14ac:dyDescent="0.2">
      <c r="A18" s="465" t="s">
        <v>309</v>
      </c>
      <c r="B18" s="1485">
        <v>0</v>
      </c>
      <c r="C18" s="464">
        <v>0</v>
      </c>
      <c r="E18" s="1424"/>
    </row>
    <row r="19" spans="1:5" x14ac:dyDescent="0.2">
      <c r="A19" s="466" t="s">
        <v>310</v>
      </c>
      <c r="B19" s="1487">
        <v>2</v>
      </c>
      <c r="C19" s="468">
        <v>178880</v>
      </c>
      <c r="E19" s="1424"/>
    </row>
    <row r="20" spans="1:5" x14ac:dyDescent="0.2">
      <c r="A20" s="1425"/>
      <c r="B20" s="1426"/>
      <c r="C20" s="1427"/>
    </row>
    <row r="21" spans="1:5" ht="13.5" thickBot="1" x14ac:dyDescent="0.25">
      <c r="A21" s="472" t="s">
        <v>205</v>
      </c>
      <c r="B21" s="473">
        <f>SUM(B10:B20)</f>
        <v>2</v>
      </c>
      <c r="C21" s="474">
        <f>SUM(C10:C19)</f>
        <v>720480</v>
      </c>
    </row>
    <row r="22" spans="1:5" ht="13.5" thickTop="1" x14ac:dyDescent="0.2"/>
  </sheetData>
  <pageMargins left="1" right="0.75" top="0.75" bottom="0.5" header="0.5" footer="0.5"/>
  <pageSetup orientation="portrait" r:id="rId1"/>
  <headerFooter>
    <oddFooter>&amp;L&amp;KFF0000Final Rate Application&amp;CPage &amp;P of &amp;N&amp;R02/10/2017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C12"/>
  <sheetViews>
    <sheetView workbookViewId="0"/>
  </sheetViews>
  <sheetFormatPr defaultRowHeight="12.75" x14ac:dyDescent="0.2"/>
  <cols>
    <col min="1" max="1" width="33" style="12" customWidth="1"/>
    <col min="2" max="2" width="16.140625" style="12" bestFit="1" customWidth="1"/>
    <col min="3" max="16384" width="9.140625" style="12"/>
  </cols>
  <sheetData>
    <row r="1" spans="1:3" ht="12.75" customHeight="1" x14ac:dyDescent="0.2">
      <c r="A1" s="112" t="str">
        <f>'CS1_B '!$A$2</f>
        <v>Recology San Francisco</v>
      </c>
      <c r="C1" s="703"/>
    </row>
    <row r="2" spans="1:3" ht="12.75" customHeight="1" x14ac:dyDescent="0.2">
      <c r="A2" s="1404" t="s">
        <v>705</v>
      </c>
      <c r="C2" s="703"/>
    </row>
    <row r="3" spans="1:3" ht="12.75" customHeight="1" x14ac:dyDescent="0.2">
      <c r="A3" s="436" t="s">
        <v>360</v>
      </c>
    </row>
    <row r="4" spans="1:3" ht="12.75" customHeight="1" x14ac:dyDescent="0.2">
      <c r="A4" s="265" t="str">
        <f>H.1!$A$3</f>
        <v>Depreciation and Lease Expenses</v>
      </c>
    </row>
    <row r="5" spans="1:3" x14ac:dyDescent="0.2">
      <c r="A5" s="706"/>
    </row>
    <row r="6" spans="1:3" x14ac:dyDescent="0.2">
      <c r="A6" s="349"/>
    </row>
    <row r="7" spans="1:3" ht="18.75" customHeight="1" x14ac:dyDescent="0.2">
      <c r="A7" s="1428"/>
      <c r="B7" s="1429"/>
    </row>
    <row r="8" spans="1:3" ht="18.75" customHeight="1" x14ac:dyDescent="0.2">
      <c r="A8" s="711" t="s">
        <v>2</v>
      </c>
      <c r="B8" s="713" t="s">
        <v>69</v>
      </c>
    </row>
    <row r="9" spans="1:3" ht="12" customHeight="1" x14ac:dyDescent="0.2">
      <c r="A9" s="734"/>
      <c r="B9" s="1430"/>
    </row>
    <row r="10" spans="1:3" x14ac:dyDescent="0.2">
      <c r="A10" s="1431" t="s">
        <v>368</v>
      </c>
      <c r="B10" s="1432">
        <f>+CS1_H.3!D11</f>
        <v>3169613.7</v>
      </c>
    </row>
    <row r="11" spans="1:3" x14ac:dyDescent="0.2">
      <c r="A11" s="1433" t="s">
        <v>708</v>
      </c>
      <c r="B11" s="718">
        <f>CS1_H.2!D21</f>
        <v>182084.43236766965</v>
      </c>
    </row>
    <row r="12" spans="1:3" collapsed="1" x14ac:dyDescent="0.2"/>
  </sheetData>
  <pageMargins left="1" right="0.75" top="0.75" bottom="0.5" header="0.5" footer="0.5"/>
  <pageSetup orientation="portrait" r:id="rId1"/>
  <headerFooter>
    <oddFooter>&amp;L&amp;KFF0000Final Rate Application&amp;CPage &amp;P of &amp;N&amp;R02/10/2017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L82"/>
  <sheetViews>
    <sheetView showOutlineSymbols="0" zoomScaleNormal="100" zoomScaleSheetLayoutView="115" workbookViewId="0"/>
  </sheetViews>
  <sheetFormatPr defaultRowHeight="12.75" outlineLevelRow="1" x14ac:dyDescent="0.2"/>
  <cols>
    <col min="1" max="1" width="47.7109375" style="12" customWidth="1"/>
    <col min="2" max="2" width="14.5703125" style="12" customWidth="1"/>
    <col min="3" max="3" width="10.5703125" style="12" customWidth="1"/>
    <col min="4" max="4" width="13" style="12" customWidth="1"/>
    <col min="5" max="5" width="1.28515625" style="12" customWidth="1"/>
    <col min="6" max="6" width="22.85546875" style="12" customWidth="1"/>
    <col min="7" max="7" width="10.28515625" style="12" bestFit="1" customWidth="1"/>
    <col min="8" max="16384" width="9.140625" style="12"/>
  </cols>
  <sheetData>
    <row r="1" spans="1:12" ht="12.75" customHeight="1" x14ac:dyDescent="0.2">
      <c r="A1" s="112" t="str">
        <f>'CS1_B '!$A$2</f>
        <v>Recology San Francisco</v>
      </c>
    </row>
    <row r="2" spans="1:12" ht="12.75" customHeight="1" x14ac:dyDescent="0.2">
      <c r="A2" s="1404" t="s">
        <v>705</v>
      </c>
    </row>
    <row r="3" spans="1:12" ht="12.75" customHeight="1" x14ac:dyDescent="0.2">
      <c r="A3" s="924" t="s">
        <v>375</v>
      </c>
    </row>
    <row r="4" spans="1:12" ht="12.75" customHeight="1" x14ac:dyDescent="0.2">
      <c r="A4" s="265" t="str">
        <f>H.2!A3</f>
        <v>Detailed Capital Items and Lease Expenses</v>
      </c>
    </row>
    <row r="6" spans="1:12" hidden="1" outlineLevel="1" x14ac:dyDescent="0.2">
      <c r="C6" s="12">
        <v>7</v>
      </c>
      <c r="F6" s="12">
        <v>1</v>
      </c>
    </row>
    <row r="7" spans="1:12" collapsed="1" x14ac:dyDescent="0.2"/>
    <row r="8" spans="1:12" x14ac:dyDescent="0.2">
      <c r="B8" s="1603" t="s">
        <v>378</v>
      </c>
      <c r="C8" s="1603"/>
      <c r="D8" s="1603"/>
    </row>
    <row r="9" spans="1:12" x14ac:dyDescent="0.2">
      <c r="B9" s="901"/>
      <c r="C9" s="1434" t="s">
        <v>379</v>
      </c>
      <c r="D9" s="759"/>
    </row>
    <row r="10" spans="1:12" x14ac:dyDescent="0.2">
      <c r="B10" s="1435" t="s">
        <v>380</v>
      </c>
      <c r="C10" s="1436">
        <f>H.2!H8</f>
        <v>1.3333831144065099E-2</v>
      </c>
      <c r="D10" s="766"/>
    </row>
    <row r="11" spans="1:12" x14ac:dyDescent="0.2">
      <c r="B11" s="1345" t="s">
        <v>381</v>
      </c>
      <c r="C11" s="1437">
        <f>H.2!H9</f>
        <v>0.1600059737287812</v>
      </c>
      <c r="D11" s="1274"/>
    </row>
    <row r="13" spans="1:12" x14ac:dyDescent="0.2">
      <c r="A13" s="1438"/>
      <c r="B13" s="1604" t="s">
        <v>383</v>
      </c>
      <c r="C13" s="1604"/>
      <c r="D13" s="1604"/>
    </row>
    <row r="14" spans="1:12" ht="18" customHeight="1" x14ac:dyDescent="0.2">
      <c r="A14" s="347" t="s">
        <v>2</v>
      </c>
      <c r="B14" s="876" t="s">
        <v>69</v>
      </c>
      <c r="C14" s="877" t="s">
        <v>387</v>
      </c>
      <c r="D14" s="1439" t="s">
        <v>69</v>
      </c>
      <c r="F14" s="746"/>
    </row>
    <row r="15" spans="1:12" ht="16.5" customHeight="1" x14ac:dyDescent="0.2">
      <c r="A15" s="1440" t="s">
        <v>709</v>
      </c>
      <c r="B15" s="1107">
        <v>44976.9</v>
      </c>
      <c r="C15" s="1441">
        <v>7</v>
      </c>
      <c r="D15" s="341">
        <f>+B15*$C$11</f>
        <v>7196.5726798020196</v>
      </c>
      <c r="F15" s="166"/>
      <c r="G15" s="258"/>
      <c r="H15" s="258"/>
      <c r="I15" s="258"/>
      <c r="J15" s="258"/>
      <c r="K15" s="258"/>
      <c r="L15" s="258"/>
    </row>
    <row r="16" spans="1:12" ht="16.5" customHeight="1" x14ac:dyDescent="0.2">
      <c r="A16" s="1440" t="s">
        <v>710</v>
      </c>
      <c r="B16" s="341">
        <v>291858.06</v>
      </c>
      <c r="C16" s="1441">
        <v>7</v>
      </c>
      <c r="D16" s="341">
        <f>+B16*$C$11</f>
        <v>46699.033080893045</v>
      </c>
      <c r="F16" s="166"/>
      <c r="G16" s="258"/>
      <c r="H16" s="258"/>
      <c r="I16" s="258"/>
      <c r="J16" s="258"/>
      <c r="K16" s="258"/>
      <c r="L16" s="258"/>
    </row>
    <row r="17" spans="1:12" ht="16.5" customHeight="1" x14ac:dyDescent="0.2">
      <c r="A17" s="1440" t="s">
        <v>711</v>
      </c>
      <c r="B17" s="341">
        <v>205745.174704</v>
      </c>
      <c r="C17" s="1441">
        <v>7</v>
      </c>
      <c r="D17" s="341">
        <f>+B17*$C$11</f>
        <v>32920.457018511719</v>
      </c>
      <c r="F17" s="166"/>
      <c r="G17" s="258"/>
      <c r="H17" s="258"/>
      <c r="I17" s="258"/>
      <c r="J17" s="258"/>
      <c r="K17" s="258"/>
      <c r="L17" s="258"/>
    </row>
    <row r="18" spans="1:12" ht="16.5" customHeight="1" x14ac:dyDescent="0.2">
      <c r="A18" s="1440" t="s">
        <v>712</v>
      </c>
      <c r="B18" s="341">
        <v>552874</v>
      </c>
      <c r="C18" s="1441">
        <v>7</v>
      </c>
      <c r="D18" s="341">
        <f>+B18*$C$11</f>
        <v>88463.142719326177</v>
      </c>
      <c r="F18" s="166"/>
      <c r="G18" s="258"/>
      <c r="H18" s="258"/>
      <c r="I18" s="258"/>
      <c r="J18" s="258"/>
      <c r="K18" s="258"/>
      <c r="L18" s="258"/>
    </row>
    <row r="19" spans="1:12" ht="16.5" customHeight="1" x14ac:dyDescent="0.2">
      <c r="A19" s="1442" t="s">
        <v>403</v>
      </c>
      <c r="B19" s="341">
        <v>42531.08</v>
      </c>
      <c r="C19" s="1441">
        <v>7</v>
      </c>
      <c r="D19" s="341">
        <f>+B19*$C$11</f>
        <v>6805.2268691366917</v>
      </c>
      <c r="F19" s="166"/>
      <c r="G19" s="258"/>
      <c r="H19" s="258"/>
      <c r="I19" s="258"/>
      <c r="J19" s="258"/>
      <c r="K19" s="258"/>
      <c r="L19" s="258"/>
    </row>
    <row r="20" spans="1:12" ht="5.0999999999999996" customHeight="1" x14ac:dyDescent="0.2">
      <c r="A20" s="884"/>
      <c r="B20" s="1149"/>
      <c r="C20" s="1149"/>
      <c r="D20" s="1149"/>
    </row>
    <row r="21" spans="1:12" x14ac:dyDescent="0.2">
      <c r="A21" s="1443" t="s">
        <v>713</v>
      </c>
      <c r="B21" s="886">
        <f>SUM(B15:B20)</f>
        <v>1137985.2147040002</v>
      </c>
      <c r="C21" s="886"/>
      <c r="D21" s="886">
        <f>SUM(D15:D20)</f>
        <v>182084.43236766965</v>
      </c>
    </row>
    <row r="22" spans="1:12" x14ac:dyDescent="0.2">
      <c r="B22" s="343"/>
    </row>
    <row r="23" spans="1:12" x14ac:dyDescent="0.2">
      <c r="B23" s="343"/>
    </row>
    <row r="24" spans="1:12" x14ac:dyDescent="0.2">
      <c r="B24" s="343"/>
    </row>
    <row r="25" spans="1:12" x14ac:dyDescent="0.2">
      <c r="B25" s="343"/>
    </row>
    <row r="26" spans="1:12" x14ac:dyDescent="0.2">
      <c r="B26" s="343"/>
    </row>
    <row r="27" spans="1:12" x14ac:dyDescent="0.2">
      <c r="B27" s="407"/>
    </row>
    <row r="28" spans="1:12" x14ac:dyDescent="0.2">
      <c r="B28" s="407"/>
    </row>
    <row r="29" spans="1:12" x14ac:dyDescent="0.2">
      <c r="B29" s="407"/>
    </row>
    <row r="30" spans="1:12" x14ac:dyDescent="0.2">
      <c r="B30" s="407"/>
    </row>
    <row r="31" spans="1:12" x14ac:dyDescent="0.2">
      <c r="B31" s="407"/>
    </row>
    <row r="32" spans="1:12" x14ac:dyDescent="0.2">
      <c r="B32" s="407"/>
    </row>
    <row r="33" spans="2:2" x14ac:dyDescent="0.2">
      <c r="B33" s="407"/>
    </row>
    <row r="34" spans="2:2" x14ac:dyDescent="0.2">
      <c r="B34" s="407"/>
    </row>
    <row r="35" spans="2:2" x14ac:dyDescent="0.2">
      <c r="B35" s="407"/>
    </row>
    <row r="36" spans="2:2" x14ac:dyDescent="0.2">
      <c r="B36" s="407"/>
    </row>
    <row r="37" spans="2:2" x14ac:dyDescent="0.2">
      <c r="B37" s="407"/>
    </row>
    <row r="38" spans="2:2" x14ac:dyDescent="0.2">
      <c r="B38" s="407"/>
    </row>
    <row r="39" spans="2:2" x14ac:dyDescent="0.2">
      <c r="B39" s="407"/>
    </row>
    <row r="40" spans="2:2" x14ac:dyDescent="0.2">
      <c r="B40" s="407"/>
    </row>
    <row r="41" spans="2:2" x14ac:dyDescent="0.2">
      <c r="B41" s="407"/>
    </row>
    <row r="42" spans="2:2" x14ac:dyDescent="0.2">
      <c r="B42" s="407"/>
    </row>
    <row r="43" spans="2:2" x14ac:dyDescent="0.2">
      <c r="B43" s="407"/>
    </row>
    <row r="44" spans="2:2" x14ac:dyDescent="0.2">
      <c r="B44" s="407"/>
    </row>
    <row r="45" spans="2:2" x14ac:dyDescent="0.2">
      <c r="B45" s="407"/>
    </row>
    <row r="46" spans="2:2" x14ac:dyDescent="0.2">
      <c r="B46" s="407"/>
    </row>
    <row r="47" spans="2:2" x14ac:dyDescent="0.2">
      <c r="B47" s="407"/>
    </row>
    <row r="48" spans="2:2" x14ac:dyDescent="0.2">
      <c r="B48" s="407"/>
    </row>
    <row r="49" spans="2:2" x14ac:dyDescent="0.2">
      <c r="B49" s="407"/>
    </row>
    <row r="50" spans="2:2" x14ac:dyDescent="0.2">
      <c r="B50" s="407"/>
    </row>
    <row r="51" spans="2:2" x14ac:dyDescent="0.2">
      <c r="B51" s="407"/>
    </row>
    <row r="52" spans="2:2" x14ac:dyDescent="0.2">
      <c r="B52" s="407"/>
    </row>
    <row r="53" spans="2:2" x14ac:dyDescent="0.2">
      <c r="B53" s="407"/>
    </row>
    <row r="54" spans="2:2" x14ac:dyDescent="0.2">
      <c r="B54" s="407"/>
    </row>
    <row r="55" spans="2:2" x14ac:dyDescent="0.2">
      <c r="B55" s="407"/>
    </row>
    <row r="56" spans="2:2" x14ac:dyDescent="0.2">
      <c r="B56" s="407"/>
    </row>
    <row r="57" spans="2:2" x14ac:dyDescent="0.2">
      <c r="B57" s="407"/>
    </row>
    <row r="58" spans="2:2" x14ac:dyDescent="0.2">
      <c r="B58" s="407"/>
    </row>
    <row r="59" spans="2:2" x14ac:dyDescent="0.2">
      <c r="B59" s="407"/>
    </row>
    <row r="60" spans="2:2" x14ac:dyDescent="0.2">
      <c r="B60" s="407"/>
    </row>
    <row r="61" spans="2:2" x14ac:dyDescent="0.2">
      <c r="B61" s="407"/>
    </row>
    <row r="62" spans="2:2" x14ac:dyDescent="0.2">
      <c r="B62" s="407"/>
    </row>
    <row r="63" spans="2:2" x14ac:dyDescent="0.2">
      <c r="B63" s="407"/>
    </row>
    <row r="64" spans="2:2" x14ac:dyDescent="0.2">
      <c r="B64" s="407"/>
    </row>
    <row r="65" spans="2:2" x14ac:dyDescent="0.2">
      <c r="B65" s="407"/>
    </row>
    <row r="66" spans="2:2" x14ac:dyDescent="0.2">
      <c r="B66" s="407"/>
    </row>
    <row r="67" spans="2:2" x14ac:dyDescent="0.2">
      <c r="B67" s="407"/>
    </row>
    <row r="68" spans="2:2" x14ac:dyDescent="0.2">
      <c r="B68" s="407"/>
    </row>
    <row r="69" spans="2:2" x14ac:dyDescent="0.2">
      <c r="B69" s="407"/>
    </row>
    <row r="70" spans="2:2" x14ac:dyDescent="0.2">
      <c r="B70" s="407"/>
    </row>
    <row r="71" spans="2:2" x14ac:dyDescent="0.2">
      <c r="B71" s="407"/>
    </row>
    <row r="72" spans="2:2" x14ac:dyDescent="0.2">
      <c r="B72" s="407"/>
    </row>
    <row r="73" spans="2:2" x14ac:dyDescent="0.2">
      <c r="B73" s="407"/>
    </row>
    <row r="74" spans="2:2" x14ac:dyDescent="0.2">
      <c r="B74" s="407"/>
    </row>
    <row r="75" spans="2:2" x14ac:dyDescent="0.2">
      <c r="B75" s="407"/>
    </row>
    <row r="76" spans="2:2" x14ac:dyDescent="0.2">
      <c r="B76" s="407"/>
    </row>
    <row r="77" spans="2:2" x14ac:dyDescent="0.2">
      <c r="B77" s="407"/>
    </row>
    <row r="78" spans="2:2" x14ac:dyDescent="0.2">
      <c r="B78" s="407"/>
    </row>
    <row r="79" spans="2:2" x14ac:dyDescent="0.2">
      <c r="B79" s="407"/>
    </row>
    <row r="80" spans="2:2" x14ac:dyDescent="0.2">
      <c r="B80" s="407"/>
    </row>
    <row r="81" spans="2:2" x14ac:dyDescent="0.2">
      <c r="B81" s="407"/>
    </row>
    <row r="82" spans="2:2" x14ac:dyDescent="0.2">
      <c r="B82" s="407"/>
    </row>
  </sheetData>
  <mergeCells count="2">
    <mergeCell ref="B8:D8"/>
    <mergeCell ref="B13:D13"/>
  </mergeCells>
  <pageMargins left="1" right="0.75" top="0.75" bottom="0.5" header="0.5" footer="0.5"/>
  <pageSetup orientation="portrait" r:id="rId1"/>
  <headerFooter>
    <oddFooter>&amp;L&amp;KFF0000Final Rate Application&amp;CPage &amp;P of &amp;N&amp;R02/10/2017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L72"/>
  <sheetViews>
    <sheetView zoomScaleNormal="100" workbookViewId="0"/>
  </sheetViews>
  <sheetFormatPr defaultRowHeight="12.75" x14ac:dyDescent="0.2"/>
  <cols>
    <col min="1" max="1" width="47.7109375" style="12" customWidth="1"/>
    <col min="2" max="2" width="14.5703125" style="12" customWidth="1"/>
    <col min="3" max="3" width="10.5703125" style="12" customWidth="1"/>
    <col min="4" max="4" width="13" style="12" customWidth="1"/>
    <col min="5" max="5" width="1.28515625" style="12" customWidth="1"/>
    <col min="6" max="6" width="22.85546875" style="12" customWidth="1"/>
    <col min="7" max="7" width="10.28515625" style="12" bestFit="1" customWidth="1"/>
    <col min="8" max="16384" width="9.140625" style="12"/>
  </cols>
  <sheetData>
    <row r="1" spans="1:12" ht="12.75" customHeight="1" x14ac:dyDescent="0.2">
      <c r="A1" s="112" t="str">
        <f>'CS1_B '!$A$2</f>
        <v>Recology San Francisco</v>
      </c>
    </row>
    <row r="2" spans="1:12" ht="12.75" customHeight="1" x14ac:dyDescent="0.2">
      <c r="A2" s="1404" t="s">
        <v>705</v>
      </c>
    </row>
    <row r="3" spans="1:12" ht="12.75" customHeight="1" x14ac:dyDescent="0.2">
      <c r="A3" s="436" t="s">
        <v>437</v>
      </c>
    </row>
    <row r="4" spans="1:12" ht="12.75" customHeight="1" x14ac:dyDescent="0.2">
      <c r="A4" s="265" t="str">
        <f>H.3!$A$3</f>
        <v>Depreciation Expenses</v>
      </c>
    </row>
    <row r="6" spans="1:12" x14ac:dyDescent="0.2">
      <c r="A6" s="349"/>
      <c r="C6" s="411"/>
      <c r="D6" s="868"/>
    </row>
    <row r="7" spans="1:12" ht="17.25" customHeight="1" x14ac:dyDescent="0.2">
      <c r="A7" s="1122"/>
      <c r="B7" s="1444"/>
      <c r="C7" s="1276" t="s">
        <v>438</v>
      </c>
      <c r="D7" s="1445"/>
    </row>
    <row r="8" spans="1:12" ht="18" customHeight="1" x14ac:dyDescent="0.2">
      <c r="A8" s="347" t="s">
        <v>2</v>
      </c>
      <c r="B8" s="876" t="s">
        <v>69</v>
      </c>
      <c r="C8" s="877" t="s">
        <v>439</v>
      </c>
      <c r="D8" s="1439" t="s">
        <v>69</v>
      </c>
      <c r="F8" s="746"/>
    </row>
    <row r="9" spans="1:12" ht="16.5" customHeight="1" x14ac:dyDescent="0.2">
      <c r="A9" s="1440" t="s">
        <v>714</v>
      </c>
      <c r="B9" s="1107">
        <v>63392274</v>
      </c>
      <c r="C9" s="1441">
        <v>20</v>
      </c>
      <c r="D9" s="1107">
        <f>+B9/C9</f>
        <v>3169613.7</v>
      </c>
      <c r="F9" s="166"/>
      <c r="G9" s="258"/>
      <c r="H9" s="258"/>
      <c r="I9" s="258"/>
      <c r="J9" s="258"/>
      <c r="K9" s="258"/>
      <c r="L9" s="258"/>
    </row>
    <row r="10" spans="1:12" ht="5.0999999999999996" customHeight="1" x14ac:dyDescent="0.2">
      <c r="A10" s="884"/>
      <c r="B10" s="1149"/>
      <c r="C10" s="1149"/>
      <c r="D10" s="1149"/>
    </row>
    <row r="11" spans="1:12" x14ac:dyDescent="0.2">
      <c r="A11" s="1443" t="s">
        <v>374</v>
      </c>
      <c r="B11" s="886">
        <f>SUM(B9:B10)</f>
        <v>63392274</v>
      </c>
      <c r="C11" s="886"/>
      <c r="D11" s="886">
        <f>SUM(D9:D10)</f>
        <v>3169613.7</v>
      </c>
    </row>
    <row r="12" spans="1:12" x14ac:dyDescent="0.2">
      <c r="B12" s="343"/>
    </row>
    <row r="13" spans="1:12" x14ac:dyDescent="0.2">
      <c r="B13" s="343"/>
    </row>
    <row r="14" spans="1:12" x14ac:dyDescent="0.2">
      <c r="B14" s="343"/>
    </row>
    <row r="15" spans="1:12" x14ac:dyDescent="0.2">
      <c r="B15" s="343"/>
    </row>
    <row r="16" spans="1:12" x14ac:dyDescent="0.2">
      <c r="B16" s="343"/>
    </row>
    <row r="17" spans="2:2" x14ac:dyDescent="0.2">
      <c r="B17" s="407"/>
    </row>
    <row r="18" spans="2:2" x14ac:dyDescent="0.2">
      <c r="B18" s="407"/>
    </row>
    <row r="19" spans="2:2" x14ac:dyDescent="0.2">
      <c r="B19" s="407"/>
    </row>
    <row r="20" spans="2:2" x14ac:dyDescent="0.2">
      <c r="B20" s="407"/>
    </row>
    <row r="21" spans="2:2" x14ac:dyDescent="0.2">
      <c r="B21" s="407"/>
    </row>
    <row r="22" spans="2:2" x14ac:dyDescent="0.2">
      <c r="B22" s="407"/>
    </row>
    <row r="23" spans="2:2" x14ac:dyDescent="0.2">
      <c r="B23" s="407"/>
    </row>
    <row r="24" spans="2:2" x14ac:dyDescent="0.2">
      <c r="B24" s="407"/>
    </row>
    <row r="25" spans="2:2" x14ac:dyDescent="0.2">
      <c r="B25" s="407"/>
    </row>
    <row r="26" spans="2:2" x14ac:dyDescent="0.2">
      <c r="B26" s="407"/>
    </row>
    <row r="27" spans="2:2" x14ac:dyDescent="0.2">
      <c r="B27" s="407"/>
    </row>
    <row r="28" spans="2:2" x14ac:dyDescent="0.2">
      <c r="B28" s="407"/>
    </row>
    <row r="29" spans="2:2" x14ac:dyDescent="0.2">
      <c r="B29" s="407"/>
    </row>
    <row r="30" spans="2:2" x14ac:dyDescent="0.2">
      <c r="B30" s="407"/>
    </row>
    <row r="31" spans="2:2" x14ac:dyDescent="0.2">
      <c r="B31" s="407"/>
    </row>
    <row r="32" spans="2:2" x14ac:dyDescent="0.2">
      <c r="B32" s="407"/>
    </row>
    <row r="33" spans="2:2" x14ac:dyDescent="0.2">
      <c r="B33" s="407"/>
    </row>
    <row r="34" spans="2:2" x14ac:dyDescent="0.2">
      <c r="B34" s="407"/>
    </row>
    <row r="35" spans="2:2" x14ac:dyDescent="0.2">
      <c r="B35" s="407"/>
    </row>
    <row r="36" spans="2:2" x14ac:dyDescent="0.2">
      <c r="B36" s="407"/>
    </row>
    <row r="37" spans="2:2" x14ac:dyDescent="0.2">
      <c r="B37" s="407"/>
    </row>
    <row r="38" spans="2:2" x14ac:dyDescent="0.2">
      <c r="B38" s="407"/>
    </row>
    <row r="39" spans="2:2" x14ac:dyDescent="0.2">
      <c r="B39" s="407"/>
    </row>
    <row r="40" spans="2:2" x14ac:dyDescent="0.2">
      <c r="B40" s="407"/>
    </row>
    <row r="41" spans="2:2" x14ac:dyDescent="0.2">
      <c r="B41" s="407"/>
    </row>
    <row r="42" spans="2:2" x14ac:dyDescent="0.2">
      <c r="B42" s="407"/>
    </row>
    <row r="43" spans="2:2" x14ac:dyDescent="0.2">
      <c r="B43" s="407"/>
    </row>
    <row r="44" spans="2:2" x14ac:dyDescent="0.2">
      <c r="B44" s="407"/>
    </row>
    <row r="45" spans="2:2" x14ac:dyDescent="0.2">
      <c r="B45" s="407"/>
    </row>
    <row r="46" spans="2:2" x14ac:dyDescent="0.2">
      <c r="B46" s="407"/>
    </row>
    <row r="47" spans="2:2" x14ac:dyDescent="0.2">
      <c r="B47" s="407"/>
    </row>
    <row r="48" spans="2:2" x14ac:dyDescent="0.2">
      <c r="B48" s="407"/>
    </row>
    <row r="49" spans="2:2" x14ac:dyDescent="0.2">
      <c r="B49" s="407"/>
    </row>
    <row r="50" spans="2:2" x14ac:dyDescent="0.2">
      <c r="B50" s="407"/>
    </row>
    <row r="51" spans="2:2" x14ac:dyDescent="0.2">
      <c r="B51" s="407"/>
    </row>
    <row r="52" spans="2:2" x14ac:dyDescent="0.2">
      <c r="B52" s="407"/>
    </row>
    <row r="53" spans="2:2" x14ac:dyDescent="0.2">
      <c r="B53" s="407"/>
    </row>
    <row r="54" spans="2:2" x14ac:dyDescent="0.2">
      <c r="B54" s="407"/>
    </row>
    <row r="55" spans="2:2" x14ac:dyDescent="0.2">
      <c r="B55" s="407"/>
    </row>
    <row r="56" spans="2:2" x14ac:dyDescent="0.2">
      <c r="B56" s="407"/>
    </row>
    <row r="57" spans="2:2" x14ac:dyDescent="0.2">
      <c r="B57" s="407"/>
    </row>
    <row r="58" spans="2:2" x14ac:dyDescent="0.2">
      <c r="B58" s="407"/>
    </row>
    <row r="59" spans="2:2" x14ac:dyDescent="0.2">
      <c r="B59" s="407"/>
    </row>
    <row r="60" spans="2:2" x14ac:dyDescent="0.2">
      <c r="B60" s="407"/>
    </row>
    <row r="61" spans="2:2" x14ac:dyDescent="0.2">
      <c r="B61" s="407"/>
    </row>
    <row r="62" spans="2:2" x14ac:dyDescent="0.2">
      <c r="B62" s="407"/>
    </row>
    <row r="63" spans="2:2" x14ac:dyDescent="0.2">
      <c r="B63" s="407"/>
    </row>
    <row r="64" spans="2:2" x14ac:dyDescent="0.2">
      <c r="B64" s="407"/>
    </row>
    <row r="65" spans="2:2" x14ac:dyDescent="0.2">
      <c r="B65" s="407"/>
    </row>
    <row r="66" spans="2:2" x14ac:dyDescent="0.2">
      <c r="B66" s="407"/>
    </row>
    <row r="67" spans="2:2" x14ac:dyDescent="0.2">
      <c r="B67" s="407"/>
    </row>
    <row r="68" spans="2:2" x14ac:dyDescent="0.2">
      <c r="B68" s="407"/>
    </row>
    <row r="69" spans="2:2" x14ac:dyDescent="0.2">
      <c r="B69" s="407"/>
    </row>
    <row r="70" spans="2:2" x14ac:dyDescent="0.2">
      <c r="B70" s="407"/>
    </row>
    <row r="71" spans="2:2" x14ac:dyDescent="0.2">
      <c r="B71" s="407"/>
    </row>
    <row r="72" spans="2:2" x14ac:dyDescent="0.2">
      <c r="B72" s="407"/>
    </row>
  </sheetData>
  <pageMargins left="1" right="0.75" top="0.75" bottom="0.5" header="0.5" footer="0.5"/>
  <pageSetup scale="79" orientation="portrait" r:id="rId1"/>
  <headerFooter>
    <oddFooter>&amp;L&amp;KFF0000Final Rate Application&amp;CPage &amp;P of &amp;N&amp;R02/10/2017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"/>
  <sheetViews>
    <sheetView zoomScaleNormal="100" zoomScaleSheetLayoutView="205" workbookViewId="0"/>
  </sheetViews>
  <sheetFormatPr defaultRowHeight="12.75" x14ac:dyDescent="0.2"/>
  <cols>
    <col min="1" max="1" width="11.5703125" customWidth="1"/>
  </cols>
  <sheetData>
    <row r="1" spans="1:10" ht="15" x14ac:dyDescent="0.25">
      <c r="A1" s="15" t="s">
        <v>0</v>
      </c>
    </row>
    <row r="2" spans="1:10" x14ac:dyDescent="0.2">
      <c r="A2" s="109" t="s">
        <v>94</v>
      </c>
    </row>
    <row r="3" spans="1:10" x14ac:dyDescent="0.2">
      <c r="A3" s="110" t="s">
        <v>8</v>
      </c>
    </row>
    <row r="5" spans="1:10" ht="38.25" customHeight="1" x14ac:dyDescent="0.2">
      <c r="A5" s="1490" t="s">
        <v>95</v>
      </c>
      <c r="B5" s="1490"/>
      <c r="C5" s="1490"/>
      <c r="D5" s="1490"/>
      <c r="E5" s="1490"/>
      <c r="F5" s="1490"/>
      <c r="G5" s="1490"/>
      <c r="H5" s="1490"/>
      <c r="I5" s="1490"/>
      <c r="J5" s="1490"/>
    </row>
    <row r="8" spans="1:10" x14ac:dyDescent="0.2">
      <c r="A8" s="111"/>
    </row>
  </sheetData>
  <mergeCells count="1">
    <mergeCell ref="A5:J5"/>
  </mergeCells>
  <pageMargins left="0.7" right="0.7" top="0.75" bottom="0.75" header="0.3" footer="0.3"/>
  <pageSetup scale="98" orientation="portrait" r:id="rId1"/>
  <headerFooter>
    <oddFooter>&amp;L&amp;KFF0000Final Rate Application&amp;CPage &amp;P of &amp;N&amp;R02/10/2017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37"/>
  <sheetViews>
    <sheetView zoomScaleNormal="100" workbookViewId="0"/>
  </sheetViews>
  <sheetFormatPr defaultRowHeight="12.75" x14ac:dyDescent="0.2"/>
  <cols>
    <col min="1" max="1" width="100.7109375" customWidth="1"/>
    <col min="257" max="257" width="100.7109375" customWidth="1"/>
    <col min="513" max="513" width="100.7109375" customWidth="1"/>
    <col min="769" max="769" width="100.7109375" customWidth="1"/>
    <col min="1025" max="1025" width="100.7109375" customWidth="1"/>
    <col min="1281" max="1281" width="100.7109375" customWidth="1"/>
    <col min="1537" max="1537" width="100.7109375" customWidth="1"/>
    <col min="1793" max="1793" width="100.7109375" customWidth="1"/>
    <col min="2049" max="2049" width="100.7109375" customWidth="1"/>
    <col min="2305" max="2305" width="100.7109375" customWidth="1"/>
    <col min="2561" max="2561" width="100.7109375" customWidth="1"/>
    <col min="2817" max="2817" width="100.7109375" customWidth="1"/>
    <col min="3073" max="3073" width="100.7109375" customWidth="1"/>
    <col min="3329" max="3329" width="100.7109375" customWidth="1"/>
    <col min="3585" max="3585" width="100.7109375" customWidth="1"/>
    <col min="3841" max="3841" width="100.7109375" customWidth="1"/>
    <col min="4097" max="4097" width="100.7109375" customWidth="1"/>
    <col min="4353" max="4353" width="100.7109375" customWidth="1"/>
    <col min="4609" max="4609" width="100.7109375" customWidth="1"/>
    <col min="4865" max="4865" width="100.7109375" customWidth="1"/>
    <col min="5121" max="5121" width="100.7109375" customWidth="1"/>
    <col min="5377" max="5377" width="100.7109375" customWidth="1"/>
    <col min="5633" max="5633" width="100.7109375" customWidth="1"/>
    <col min="5889" max="5889" width="100.7109375" customWidth="1"/>
    <col min="6145" max="6145" width="100.7109375" customWidth="1"/>
    <col min="6401" max="6401" width="100.7109375" customWidth="1"/>
    <col min="6657" max="6657" width="100.7109375" customWidth="1"/>
    <col min="6913" max="6913" width="100.7109375" customWidth="1"/>
    <col min="7169" max="7169" width="100.7109375" customWidth="1"/>
    <col min="7425" max="7425" width="100.7109375" customWidth="1"/>
    <col min="7681" max="7681" width="100.7109375" customWidth="1"/>
    <col min="7937" max="7937" width="100.7109375" customWidth="1"/>
    <col min="8193" max="8193" width="100.7109375" customWidth="1"/>
    <col min="8449" max="8449" width="100.7109375" customWidth="1"/>
    <col min="8705" max="8705" width="100.7109375" customWidth="1"/>
    <col min="8961" max="8961" width="100.7109375" customWidth="1"/>
    <col min="9217" max="9217" width="100.7109375" customWidth="1"/>
    <col min="9473" max="9473" width="100.7109375" customWidth="1"/>
    <col min="9729" max="9729" width="100.7109375" customWidth="1"/>
    <col min="9985" max="9985" width="100.7109375" customWidth="1"/>
    <col min="10241" max="10241" width="100.7109375" customWidth="1"/>
    <col min="10497" max="10497" width="100.7109375" customWidth="1"/>
    <col min="10753" max="10753" width="100.7109375" customWidth="1"/>
    <col min="11009" max="11009" width="100.7109375" customWidth="1"/>
    <col min="11265" max="11265" width="100.7109375" customWidth="1"/>
    <col min="11521" max="11521" width="100.7109375" customWidth="1"/>
    <col min="11777" max="11777" width="100.7109375" customWidth="1"/>
    <col min="12033" max="12033" width="100.7109375" customWidth="1"/>
    <col min="12289" max="12289" width="100.7109375" customWidth="1"/>
    <col min="12545" max="12545" width="100.7109375" customWidth="1"/>
    <col min="12801" max="12801" width="100.7109375" customWidth="1"/>
    <col min="13057" max="13057" width="100.7109375" customWidth="1"/>
    <col min="13313" max="13313" width="100.7109375" customWidth="1"/>
    <col min="13569" max="13569" width="100.7109375" customWidth="1"/>
    <col min="13825" max="13825" width="100.7109375" customWidth="1"/>
    <col min="14081" max="14081" width="100.7109375" customWidth="1"/>
    <col min="14337" max="14337" width="100.7109375" customWidth="1"/>
    <col min="14593" max="14593" width="100.7109375" customWidth="1"/>
    <col min="14849" max="14849" width="100.7109375" customWidth="1"/>
    <col min="15105" max="15105" width="100.7109375" customWidth="1"/>
    <col min="15361" max="15361" width="100.7109375" customWidth="1"/>
    <col min="15617" max="15617" width="100.7109375" customWidth="1"/>
    <col min="15873" max="15873" width="100.7109375" customWidth="1"/>
    <col min="16129" max="16129" width="100.7109375" customWidth="1"/>
  </cols>
  <sheetData>
    <row r="1" spans="1:1" ht="22.5" x14ac:dyDescent="0.3">
      <c r="A1" s="1446" t="s">
        <v>715</v>
      </c>
    </row>
    <row r="3" spans="1:1" ht="20.25" x14ac:dyDescent="0.3">
      <c r="A3" s="1382" t="s">
        <v>716</v>
      </c>
    </row>
    <row r="33" spans="1:1" ht="20.25" x14ac:dyDescent="0.3">
      <c r="A33" s="1383" t="s">
        <v>0</v>
      </c>
    </row>
    <row r="37" spans="1:1" ht="20.25" x14ac:dyDescent="0.3">
      <c r="A37" s="1383"/>
    </row>
  </sheetData>
  <pageMargins left="1" right="0.75" top="0.75" bottom="0.5" header="0.5" footer="0.5"/>
  <pageSetup scale="87" orientation="portrait" r:id="rId1"/>
  <headerFooter>
    <oddFooter>&amp;L&amp;KFF0000Final Rate Application&amp;CPage &amp;P of &amp;N&amp;R02/10/2017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4"/>
  <sheetViews>
    <sheetView topLeftCell="A2" workbookViewId="0">
      <selection activeCell="B34" sqref="B34"/>
    </sheetView>
  </sheetViews>
  <sheetFormatPr defaultRowHeight="12.75" x14ac:dyDescent="0.2"/>
  <cols>
    <col min="1" max="1" width="52.42578125" style="28" customWidth="1"/>
    <col min="2" max="2" width="23.28515625" style="28" customWidth="1"/>
    <col min="3" max="3" width="11.42578125" style="114" bestFit="1" customWidth="1"/>
    <col min="4" max="4" width="14.5703125" style="114" bestFit="1" customWidth="1"/>
    <col min="5" max="12" width="9.140625" style="114"/>
    <col min="13" max="16384" width="9.140625" style="28"/>
  </cols>
  <sheetData>
    <row r="1" spans="1:2" hidden="1" x14ac:dyDescent="0.2">
      <c r="B1" s="28">
        <v>1</v>
      </c>
    </row>
    <row r="2" spans="1:2" ht="15" x14ac:dyDescent="0.25">
      <c r="A2" s="15" t="s">
        <v>0</v>
      </c>
    </row>
    <row r="3" spans="1:2" ht="15" x14ac:dyDescent="0.25">
      <c r="A3" s="1384" t="s">
        <v>66</v>
      </c>
    </row>
    <row r="4" spans="1:2" ht="15" x14ac:dyDescent="0.25">
      <c r="A4" s="16" t="s">
        <v>72</v>
      </c>
      <c r="B4" s="30"/>
    </row>
    <row r="5" spans="1:2" ht="15" x14ac:dyDescent="0.25">
      <c r="A5" s="17" t="str">
        <f>'CS1_B '!A5</f>
        <v>Rate Calculations - Processing and Disposal</v>
      </c>
      <c r="B5" s="31"/>
    </row>
    <row r="6" spans="1:2" ht="15" x14ac:dyDescent="0.25">
      <c r="A6" s="33"/>
      <c r="B6" s="34"/>
    </row>
    <row r="7" spans="1:2" ht="7.5" customHeight="1" x14ac:dyDescent="0.2">
      <c r="A7" s="36"/>
    </row>
    <row r="8" spans="1:2" ht="29.1" customHeight="1" x14ac:dyDescent="0.2">
      <c r="A8" s="1385"/>
      <c r="B8" s="876" t="s">
        <v>69</v>
      </c>
    </row>
    <row r="9" spans="1:2" x14ac:dyDescent="0.2">
      <c r="A9" s="43" t="s">
        <v>76</v>
      </c>
      <c r="B9" s="1351">
        <f>+CS2_D!C54</f>
        <v>9268539.1976248343</v>
      </c>
    </row>
    <row r="10" spans="1:2" ht="9.75" customHeight="1" x14ac:dyDescent="0.2">
      <c r="A10" s="1386"/>
      <c r="B10" s="47"/>
    </row>
    <row r="11" spans="1:2" x14ac:dyDescent="0.2">
      <c r="A11" s="1387" t="s">
        <v>77</v>
      </c>
      <c r="B11" s="50">
        <f>+B10+B9</f>
        <v>9268539.1976248343</v>
      </c>
    </row>
    <row r="12" spans="1:2" ht="11.25" customHeight="1" x14ac:dyDescent="0.2">
      <c r="A12" s="1388"/>
      <c r="B12" s="53"/>
    </row>
    <row r="13" spans="1:2" ht="18" customHeight="1" x14ac:dyDescent="0.2">
      <c r="A13" s="54" t="s">
        <v>78</v>
      </c>
      <c r="B13" s="55">
        <v>0.91</v>
      </c>
    </row>
    <row r="14" spans="1:2" ht="8.25" customHeight="1" x14ac:dyDescent="0.2">
      <c r="A14" s="1389"/>
      <c r="B14" s="1390"/>
    </row>
    <row r="15" spans="1:2" ht="12.75" customHeight="1" x14ac:dyDescent="0.2">
      <c r="A15" s="1391" t="s">
        <v>79</v>
      </c>
      <c r="B15" s="77">
        <f>+B11/B13</f>
        <v>10185207.909477839</v>
      </c>
    </row>
    <row r="16" spans="1:2" ht="12.75" customHeight="1" x14ac:dyDescent="0.2">
      <c r="A16" s="66" t="s">
        <v>81</v>
      </c>
      <c r="B16" s="1392"/>
    </row>
    <row r="17" spans="1:2" ht="12.75" customHeight="1" x14ac:dyDescent="0.2">
      <c r="A17" s="1393" t="s">
        <v>703</v>
      </c>
      <c r="B17" s="69">
        <f>-1100*6*52*0.15*10</f>
        <v>-514800</v>
      </c>
    </row>
    <row r="18" spans="1:2" ht="12.75" customHeight="1" x14ac:dyDescent="0.2">
      <c r="A18" s="1388" t="s">
        <v>87</v>
      </c>
      <c r="B18" s="1126">
        <f>B30</f>
        <v>228881.07661747932</v>
      </c>
    </row>
    <row r="19" spans="1:2" ht="12.75" customHeight="1" x14ac:dyDescent="0.2">
      <c r="A19" s="74"/>
      <c r="B19" s="1394"/>
    </row>
    <row r="20" spans="1:2" ht="12.75" customHeight="1" x14ac:dyDescent="0.2">
      <c r="A20" s="1395" t="s">
        <v>88</v>
      </c>
      <c r="B20" s="77">
        <f>SUM(B15:B19)</f>
        <v>9899288.9860953186</v>
      </c>
    </row>
    <row r="21" spans="1:2" ht="5.25" customHeight="1" x14ac:dyDescent="0.2">
      <c r="A21" s="1396"/>
      <c r="B21" s="79"/>
    </row>
    <row r="22" spans="1:2" ht="15" customHeight="1" x14ac:dyDescent="0.2">
      <c r="A22" s="1397" t="s">
        <v>89</v>
      </c>
      <c r="B22" s="82">
        <f>+B25/B24</f>
        <v>7.2501043315910327E-2</v>
      </c>
    </row>
    <row r="23" spans="1:2" x14ac:dyDescent="0.2">
      <c r="A23" s="1398"/>
      <c r="B23" s="85"/>
    </row>
    <row r="24" spans="1:2" x14ac:dyDescent="0.2">
      <c r="A24" s="1399" t="s">
        <v>70</v>
      </c>
      <c r="B24" s="85">
        <f>+B!B32</f>
        <v>186.15</v>
      </c>
    </row>
    <row r="25" spans="1:2" ht="12" customHeight="1" x14ac:dyDescent="0.2">
      <c r="A25" s="1400" t="s">
        <v>704</v>
      </c>
      <c r="B25" s="1228">
        <f>B20/B27</f>
        <v>13.496069213256709</v>
      </c>
    </row>
    <row r="26" spans="1:2" x14ac:dyDescent="0.2">
      <c r="A26" s="1398"/>
      <c r="B26" s="91"/>
    </row>
    <row r="27" spans="1:2" x14ac:dyDescent="0.2">
      <c r="A27" s="93" t="s">
        <v>90</v>
      </c>
      <c r="B27" s="94">
        <f>+CS2_F.1!B19</f>
        <v>733494.23670498072</v>
      </c>
    </row>
    <row r="28" spans="1:2" x14ac:dyDescent="0.2">
      <c r="A28" s="1398"/>
      <c r="B28" s="85"/>
    </row>
    <row r="29" spans="1:2" ht="16.5" customHeight="1" x14ac:dyDescent="0.2">
      <c r="A29" s="1401" t="s">
        <v>91</v>
      </c>
      <c r="B29" s="97">
        <v>10414088.986095319</v>
      </c>
    </row>
    <row r="30" spans="1:2" x14ac:dyDescent="0.2">
      <c r="A30" s="1401" t="s">
        <v>92</v>
      </c>
      <c r="B30" s="99">
        <v>228881.07661747932</v>
      </c>
    </row>
    <row r="31" spans="1:2" x14ac:dyDescent="0.2">
      <c r="A31" s="101"/>
      <c r="B31" s="1402"/>
    </row>
    <row r="32" spans="1:2" x14ac:dyDescent="0.2">
      <c r="A32" s="1403" t="s">
        <v>93</v>
      </c>
      <c r="B32" s="77">
        <v>9899288.9860953186</v>
      </c>
    </row>
    <row r="33" spans="1:3" x14ac:dyDescent="0.2">
      <c r="A33" s="105"/>
      <c r="B33" s="106"/>
    </row>
    <row r="34" spans="1:3" x14ac:dyDescent="0.2">
      <c r="C34" s="108"/>
    </row>
  </sheetData>
  <pageMargins left="1" right="0.75" top="0.75" bottom="0.5" header="0.5" footer="0.5"/>
  <pageSetup orientation="portrait" r:id="rId1"/>
  <headerFooter>
    <oddFooter>&amp;L&amp;KFF0000Final Rate Application&amp;CPage &amp;P of &amp;N&amp;R02/10/2017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Q55"/>
  <sheetViews>
    <sheetView zoomScaleNormal="100" workbookViewId="0"/>
  </sheetViews>
  <sheetFormatPr defaultRowHeight="12.75" x14ac:dyDescent="0.2"/>
  <cols>
    <col min="1" max="1" width="33.42578125" style="28" customWidth="1" collapsed="1"/>
    <col min="2" max="2" width="9" style="28" bestFit="1" customWidth="1"/>
    <col min="3" max="3" width="13.7109375" style="28" customWidth="1"/>
    <col min="4" max="16384" width="9.140625" style="28"/>
  </cols>
  <sheetData>
    <row r="1" spans="1:17" x14ac:dyDescent="0.2">
      <c r="A1" s="112" t="str">
        <f>CS2_B!$A$2</f>
        <v>Recology San Francisco</v>
      </c>
    </row>
    <row r="2" spans="1:17" x14ac:dyDescent="0.2">
      <c r="A2" s="1404" t="str">
        <f>+CS2_B!A3</f>
        <v>Contingent Schedule 2 - Trash Processing</v>
      </c>
    </row>
    <row r="3" spans="1:17" x14ac:dyDescent="0.2">
      <c r="A3" s="113" t="s">
        <v>96</v>
      </c>
    </row>
    <row r="4" spans="1:17" x14ac:dyDescent="0.2">
      <c r="A4" s="117" t="str">
        <f>D!A3</f>
        <v>Total Operating Expenses</v>
      </c>
      <c r="C4" s="29"/>
    </row>
    <row r="6" spans="1:17" s="29" customFormat="1" x14ac:dyDescent="0.2">
      <c r="A6" s="349"/>
      <c r="C6" s="124"/>
      <c r="D6" s="28"/>
      <c r="E6" s="28"/>
      <c r="F6" s="28"/>
      <c r="G6" s="406"/>
      <c r="H6" s="28"/>
      <c r="I6" s="28"/>
      <c r="J6" s="28"/>
      <c r="K6" s="28"/>
      <c r="L6" s="28"/>
      <c r="M6" s="28"/>
      <c r="N6" s="28"/>
      <c r="O6" s="28"/>
      <c r="P6" s="28"/>
      <c r="Q6" s="406"/>
    </row>
    <row r="7" spans="1:17" s="29" customFormat="1" ht="18" customHeight="1" x14ac:dyDescent="0.2">
      <c r="A7" s="349"/>
      <c r="C7" s="19" t="s">
        <v>69</v>
      </c>
      <c r="D7" s="28"/>
      <c r="E7" s="28"/>
      <c r="F7" s="28"/>
      <c r="G7" s="406"/>
      <c r="H7" s="28"/>
      <c r="I7" s="28"/>
      <c r="J7" s="28"/>
      <c r="K7" s="28"/>
      <c r="L7" s="28"/>
      <c r="M7" s="28"/>
      <c r="N7" s="28"/>
      <c r="O7" s="28"/>
      <c r="P7" s="28"/>
      <c r="Q7" s="406"/>
    </row>
    <row r="8" spans="1:17" ht="29.25" customHeight="1" x14ac:dyDescent="0.2">
      <c r="A8" s="1405" t="s">
        <v>106</v>
      </c>
      <c r="B8" s="131" t="s">
        <v>101</v>
      </c>
      <c r="C8" s="1406" t="s">
        <v>105</v>
      </c>
    </row>
    <row r="9" spans="1:17" x14ac:dyDescent="0.2">
      <c r="A9" s="139"/>
      <c r="B9" s="140"/>
      <c r="C9" s="140"/>
    </row>
    <row r="10" spans="1:17" x14ac:dyDescent="0.2">
      <c r="A10" s="144" t="str">
        <f>D!A9</f>
        <v xml:space="preserve">  Payroll                     </v>
      </c>
      <c r="B10" s="158" t="s">
        <v>23</v>
      </c>
      <c r="C10" s="94">
        <v>3723200</v>
      </c>
    </row>
    <row r="11" spans="1:17" x14ac:dyDescent="0.2">
      <c r="A11" s="147" t="str">
        <f>D!A10</f>
        <v xml:space="preserve">  Payroll Taxes               </v>
      </c>
      <c r="B11" s="145"/>
      <c r="C11" s="94">
        <f>D!G10/D!G9*C10</f>
        <v>291092.26659511763</v>
      </c>
      <c r="D11" s="115"/>
    </row>
    <row r="12" spans="1:17" x14ac:dyDescent="0.2">
      <c r="A12" s="144" t="str">
        <f>D!A11</f>
        <v xml:space="preserve">  Pension                     </v>
      </c>
      <c r="B12" s="145"/>
      <c r="C12" s="94">
        <f>G.2!E12/G.1!J20*50</f>
        <v>600759.21908893704</v>
      </c>
      <c r="D12" s="115"/>
    </row>
    <row r="13" spans="1:17" x14ac:dyDescent="0.2">
      <c r="A13" s="147" t="str">
        <f>D!A12</f>
        <v xml:space="preserve">  Health Insurance            </v>
      </c>
      <c r="B13" s="145"/>
      <c r="C13" s="94">
        <f>50*G.3!E10</f>
        <v>1261058.6420507727</v>
      </c>
    </row>
    <row r="14" spans="1:17" x14ac:dyDescent="0.2">
      <c r="A14" s="150" t="str">
        <f>D!A13</f>
        <v xml:space="preserve">  Workers Compensation        </v>
      </c>
      <c r="B14" s="145"/>
      <c r="C14" s="1447">
        <f>G.4!F8*C10</f>
        <v>296584.50140647986</v>
      </c>
      <c r="D14" s="115"/>
    </row>
    <row r="15" spans="1:17" ht="15.75" customHeight="1" x14ac:dyDescent="0.2">
      <c r="A15" s="155" t="s">
        <v>112</v>
      </c>
      <c r="B15" s="152"/>
      <c r="C15" s="153">
        <f>SUM(C10:C14)</f>
        <v>6172694.6291413074</v>
      </c>
    </row>
    <row r="16" spans="1:17" x14ac:dyDescent="0.2">
      <c r="A16" s="147" t="str">
        <f>D!A15</f>
        <v xml:space="preserve">  Bad Debt                    </v>
      </c>
      <c r="B16" s="156"/>
      <c r="C16" s="157">
        <v>0</v>
      </c>
      <c r="D16" s="115"/>
    </row>
    <row r="17" spans="1:4" x14ac:dyDescent="0.2">
      <c r="A17" s="147" t="str">
        <f>D!A16</f>
        <v xml:space="preserve">  Bridge Tolls</v>
      </c>
      <c r="B17" s="145"/>
      <c r="C17" s="148">
        <v>0</v>
      </c>
      <c r="D17" s="115"/>
    </row>
    <row r="18" spans="1:4" x14ac:dyDescent="0.2">
      <c r="A18" s="147" t="str">
        <f>D!A17</f>
        <v xml:space="preserve">  Building &amp; Facility Repair    </v>
      </c>
      <c r="B18" s="145"/>
      <c r="C18" s="148">
        <v>202934.56</v>
      </c>
      <c r="D18" s="115"/>
    </row>
    <row r="19" spans="1:4" x14ac:dyDescent="0.2">
      <c r="A19" s="147" t="str">
        <f>D!A18</f>
        <v xml:space="preserve">  Contract Services </v>
      </c>
      <c r="B19" s="145"/>
      <c r="C19" s="148">
        <v>0</v>
      </c>
      <c r="D19" s="115"/>
    </row>
    <row r="20" spans="1:4" x14ac:dyDescent="0.2">
      <c r="A20" s="147" t="str">
        <f>D!A19</f>
        <v xml:space="preserve">  Corporate Accounting Services</v>
      </c>
      <c r="B20" s="158"/>
      <c r="C20" s="148">
        <v>0</v>
      </c>
      <c r="D20" s="115"/>
    </row>
    <row r="21" spans="1:4" x14ac:dyDescent="0.2">
      <c r="A21" s="147" t="str">
        <f>D!A20</f>
        <v xml:space="preserve">  Corporate Management</v>
      </c>
      <c r="B21" s="158"/>
      <c r="C21" s="94">
        <v>0</v>
      </c>
      <c r="D21" s="115"/>
    </row>
    <row r="22" spans="1:4" x14ac:dyDescent="0.2">
      <c r="A22" s="147" t="str">
        <f>D!A21</f>
        <v xml:space="preserve">  Depreciation</v>
      </c>
      <c r="B22" s="145" t="s">
        <v>31</v>
      </c>
      <c r="C22" s="148">
        <f>+CS2_H.1!B10</f>
        <v>1897580.4000000001</v>
      </c>
    </row>
    <row r="23" spans="1:4" x14ac:dyDescent="0.2">
      <c r="A23" s="147" t="str">
        <f>D!A22</f>
        <v xml:space="preserve">  Environmental Compliance </v>
      </c>
      <c r="B23" s="158"/>
      <c r="C23" s="148">
        <v>0</v>
      </c>
      <c r="D23" s="115"/>
    </row>
    <row r="24" spans="1:4" x14ac:dyDescent="0.2">
      <c r="A24" s="147" t="str">
        <f>D!A23</f>
        <v xml:space="preserve">  Freight </v>
      </c>
      <c r="B24" s="145"/>
      <c r="C24" s="148">
        <v>0</v>
      </c>
      <c r="D24" s="115"/>
    </row>
    <row r="25" spans="1:4" x14ac:dyDescent="0.2">
      <c r="A25" s="147" t="str">
        <f>D!A24</f>
        <v xml:space="preserve">  Fuel</v>
      </c>
      <c r="B25" s="158"/>
      <c r="C25" s="148"/>
      <c r="D25" s="115"/>
    </row>
    <row r="26" spans="1:4" x14ac:dyDescent="0.2">
      <c r="A26" s="147" t="str">
        <f>D!A25</f>
        <v xml:space="preserve">  Human Resources </v>
      </c>
      <c r="B26" s="158"/>
      <c r="C26" s="94">
        <v>0</v>
      </c>
      <c r="D26" s="115"/>
    </row>
    <row r="27" spans="1:4" x14ac:dyDescent="0.2">
      <c r="A27" s="147" t="str">
        <f>D!A26</f>
        <v xml:space="preserve">  I/C Processing &amp; Disposal             </v>
      </c>
      <c r="B27" s="158"/>
      <c r="C27" s="148">
        <f>-1100*6*52*0.15*32</f>
        <v>-1647360</v>
      </c>
      <c r="D27" s="115"/>
    </row>
    <row r="28" spans="1:4" x14ac:dyDescent="0.2">
      <c r="A28" s="147" t="str">
        <f>D!A27</f>
        <v xml:space="preserve">  IT Services</v>
      </c>
      <c r="B28" s="158"/>
      <c r="C28" s="148">
        <v>0</v>
      </c>
      <c r="D28" s="115"/>
    </row>
    <row r="29" spans="1:4" x14ac:dyDescent="0.2">
      <c r="A29" s="147" t="str">
        <f>D!A28</f>
        <v xml:space="preserve">  Lease </v>
      </c>
      <c r="B29" s="145" t="s">
        <v>31</v>
      </c>
      <c r="C29" s="148">
        <f>CS2_H.2!D19</f>
        <v>285697.06633168797</v>
      </c>
    </row>
    <row r="30" spans="1:4" x14ac:dyDescent="0.2">
      <c r="A30" s="147" t="str">
        <f>D!A29</f>
        <v xml:space="preserve">  Liability Insurance         </v>
      </c>
      <c r="B30" s="145"/>
      <c r="C30" s="148">
        <f>2/G.1!J20*I!F8</f>
        <v>3816.9721518391916</v>
      </c>
      <c r="D30" s="115"/>
    </row>
    <row r="31" spans="1:4" x14ac:dyDescent="0.2">
      <c r="A31" s="147" t="str">
        <f>D!A30</f>
        <v xml:space="preserve">  Licenses &amp; Permits        </v>
      </c>
      <c r="B31" s="145"/>
      <c r="C31" s="148">
        <v>0</v>
      </c>
      <c r="D31" s="115"/>
    </row>
    <row r="32" spans="1:4" x14ac:dyDescent="0.2">
      <c r="A32" s="147" t="str">
        <f>D!A31</f>
        <v xml:space="preserve">  O/S Disposal </v>
      </c>
      <c r="B32" s="158"/>
      <c r="C32" s="148"/>
      <c r="D32" s="115"/>
    </row>
    <row r="33" spans="1:4" x14ac:dyDescent="0.2">
      <c r="A33" s="147" t="str">
        <f>D!A32</f>
        <v xml:space="preserve">  O/S Equipment Rental</v>
      </c>
      <c r="B33" s="145"/>
      <c r="C33" s="148">
        <v>0</v>
      </c>
      <c r="D33" s="115"/>
    </row>
    <row r="34" spans="1:4" x14ac:dyDescent="0.2">
      <c r="A34" s="147" t="str">
        <f>D!A33</f>
        <v xml:space="preserve">  O/S Processing</v>
      </c>
      <c r="B34" s="145"/>
      <c r="C34" s="148">
        <v>0</v>
      </c>
      <c r="D34" s="115"/>
    </row>
    <row r="35" spans="1:4" x14ac:dyDescent="0.2">
      <c r="A35" s="147" t="str">
        <f>D!A34</f>
        <v xml:space="preserve">  Office               </v>
      </c>
      <c r="B35" s="145"/>
      <c r="C35" s="148">
        <v>0</v>
      </c>
      <c r="D35" s="115"/>
    </row>
    <row r="36" spans="1:4" x14ac:dyDescent="0.2">
      <c r="A36" s="144" t="str">
        <f>D!A35</f>
        <v xml:space="preserve">  Parts                       </v>
      </c>
      <c r="B36" s="145"/>
      <c r="C36" s="148">
        <v>650444.29</v>
      </c>
      <c r="D36" s="115"/>
    </row>
    <row r="37" spans="1:4" x14ac:dyDescent="0.2">
      <c r="A37" s="144" t="str">
        <f>D!A36</f>
        <v xml:space="preserve">  Postage                     </v>
      </c>
      <c r="B37" s="145"/>
      <c r="C37" s="148">
        <v>0</v>
      </c>
      <c r="D37" s="115"/>
    </row>
    <row r="38" spans="1:4" x14ac:dyDescent="0.2">
      <c r="A38" s="147" t="str">
        <f>D!A37</f>
        <v xml:space="preserve">  Professional Services       </v>
      </c>
      <c r="B38" s="158"/>
      <c r="C38" s="148">
        <v>0</v>
      </c>
      <c r="D38" s="115"/>
    </row>
    <row r="39" spans="1:4" x14ac:dyDescent="0.2">
      <c r="A39" s="147" t="str">
        <f>D!A38</f>
        <v xml:space="preserve">  Property Rental             </v>
      </c>
      <c r="B39" s="145"/>
      <c r="C39" s="148">
        <v>0</v>
      </c>
      <c r="D39" s="115"/>
    </row>
    <row r="40" spans="1:4" x14ac:dyDescent="0.2">
      <c r="A40" s="144" t="str">
        <f>D!A39</f>
        <v xml:space="preserve">  Repairs &amp; Maintenance</v>
      </c>
      <c r="B40" s="145"/>
      <c r="C40" s="148">
        <v>386703.26</v>
      </c>
      <c r="D40" s="115"/>
    </row>
    <row r="41" spans="1:4" x14ac:dyDescent="0.2">
      <c r="A41" s="147" t="str">
        <f>D!A40</f>
        <v xml:space="preserve">  Security &amp; Janitorial       </v>
      </c>
      <c r="B41" s="145"/>
      <c r="C41" s="148">
        <v>0</v>
      </c>
      <c r="D41" s="115"/>
    </row>
    <row r="42" spans="1:4" x14ac:dyDescent="0.2">
      <c r="A42" s="144" t="str">
        <f>D!A41</f>
        <v xml:space="preserve">  Supplies                    </v>
      </c>
      <c r="B42" s="145"/>
      <c r="C42" s="148">
        <v>637315.69999999995</v>
      </c>
      <c r="D42" s="115"/>
    </row>
    <row r="43" spans="1:4" x14ac:dyDescent="0.2">
      <c r="A43" s="144" t="str">
        <f>D!A42</f>
        <v xml:space="preserve">  Taxes                       </v>
      </c>
      <c r="B43" s="145"/>
      <c r="C43" s="148">
        <v>0</v>
      </c>
    </row>
    <row r="44" spans="1:4" x14ac:dyDescent="0.2">
      <c r="A44" s="147" t="str">
        <f>D!A43</f>
        <v xml:space="preserve">  Technology</v>
      </c>
      <c r="B44" s="158"/>
      <c r="C44" s="94">
        <v>0</v>
      </c>
      <c r="D44" s="115"/>
    </row>
    <row r="45" spans="1:4" x14ac:dyDescent="0.2">
      <c r="A45" s="144" t="str">
        <f>D!A44</f>
        <v xml:space="preserve">  Telephone                   </v>
      </c>
      <c r="B45" s="145"/>
      <c r="C45" s="148">
        <v>0</v>
      </c>
    </row>
    <row r="46" spans="1:4" x14ac:dyDescent="0.2">
      <c r="A46" s="147" t="str">
        <f>D!A45</f>
        <v xml:space="preserve">  Tires &amp; Tubes               </v>
      </c>
      <c r="B46" s="145"/>
      <c r="C46" s="148">
        <v>0</v>
      </c>
    </row>
    <row r="47" spans="1:4" x14ac:dyDescent="0.2">
      <c r="A47" s="144" t="str">
        <f>D!A46</f>
        <v xml:space="preserve">  Utilities                   </v>
      </c>
      <c r="B47" s="145" t="s">
        <v>59</v>
      </c>
      <c r="C47" s="148">
        <v>678712.31999999995</v>
      </c>
      <c r="D47" s="115"/>
    </row>
    <row r="48" spans="1:4" x14ac:dyDescent="0.2">
      <c r="A48" s="147" t="str">
        <f>D!A47</f>
        <v xml:space="preserve">  Other               </v>
      </c>
      <c r="B48" s="145"/>
      <c r="C48" s="148">
        <v>0</v>
      </c>
      <c r="D48" s="115"/>
    </row>
    <row r="49" spans="1:3" x14ac:dyDescent="0.2">
      <c r="A49" s="151" t="s">
        <v>10</v>
      </c>
      <c r="B49" s="162"/>
      <c r="C49" s="163">
        <f>SUM(C15:C48)</f>
        <v>9268539.1976248343</v>
      </c>
    </row>
    <row r="50" spans="1:3" s="165" customFormat="1" x14ac:dyDescent="0.2">
      <c r="C50" s="114"/>
    </row>
    <row r="51" spans="1:3" x14ac:dyDescent="0.2">
      <c r="A51" s="166" t="s">
        <v>150</v>
      </c>
    </row>
    <row r="52" spans="1:3" x14ac:dyDescent="0.2">
      <c r="A52" s="166" t="s">
        <v>151</v>
      </c>
      <c r="C52" s="343"/>
    </row>
    <row r="53" spans="1:3" ht="4.5" customHeight="1" x14ac:dyDescent="0.2">
      <c r="A53" s="166"/>
      <c r="C53" s="1357"/>
    </row>
    <row r="54" spans="1:3" ht="13.5" thickBot="1" x14ac:dyDescent="0.25">
      <c r="A54" s="166" t="s">
        <v>76</v>
      </c>
      <c r="C54" s="173">
        <f>SUM(C49:C53)</f>
        <v>9268539.1976248343</v>
      </c>
    </row>
    <row r="55" spans="1:3" ht="13.5" thickTop="1" x14ac:dyDescent="0.2">
      <c r="C55" s="174"/>
    </row>
  </sheetData>
  <autoFilter ref="B8:B49"/>
  <pageMargins left="1" right="0.75" top="0.75" bottom="0.5" header="0.5" footer="0.5"/>
  <pageSetup scale="89" orientation="portrait" r:id="rId1"/>
  <headerFooter>
    <oddFooter>&amp;L&amp;KFF0000Final Rate Application&amp;CPage &amp;P of &amp;N&amp;R02/10/2017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D34"/>
  <sheetViews>
    <sheetView workbookViewId="0"/>
  </sheetViews>
  <sheetFormatPr defaultRowHeight="15" customHeight="1" x14ac:dyDescent="0.2"/>
  <cols>
    <col min="1" max="1" width="47.85546875" style="260" customWidth="1" collapsed="1"/>
    <col min="2" max="2" width="18.140625" style="262" customWidth="1"/>
    <col min="3" max="3" width="13.5703125" style="260" customWidth="1"/>
    <col min="4" max="4" width="12" style="260" customWidth="1"/>
    <col min="5" max="16384" width="9.140625" style="260"/>
  </cols>
  <sheetData>
    <row r="1" spans="1:4" ht="15" customHeight="1" x14ac:dyDescent="0.2">
      <c r="A1" s="261" t="s">
        <v>0</v>
      </c>
    </row>
    <row r="2" spans="1:4" ht="15" customHeight="1" x14ac:dyDescent="0.25">
      <c r="A2" s="1384" t="s">
        <v>66</v>
      </c>
    </row>
    <row r="3" spans="1:4" ht="15" customHeight="1" x14ac:dyDescent="0.2">
      <c r="A3" s="260" t="s">
        <v>706</v>
      </c>
    </row>
    <row r="4" spans="1:4" ht="15" customHeight="1" x14ac:dyDescent="0.2">
      <c r="A4" s="265" t="str">
        <f>F.1!A3</f>
        <v>Historical and Projected Tipping Charge Revenues</v>
      </c>
    </row>
    <row r="6" spans="1:4" s="269" customFormat="1" ht="18" customHeight="1" x14ac:dyDescent="0.2">
      <c r="A6" s="1409"/>
      <c r="B6" s="273" t="s">
        <v>69</v>
      </c>
    </row>
    <row r="7" spans="1:4" ht="15" customHeight="1" x14ac:dyDescent="0.2">
      <c r="A7" s="1410" t="s">
        <v>210</v>
      </c>
      <c r="B7" s="1411"/>
    </row>
    <row r="8" spans="1:4" ht="15.95" customHeight="1" x14ac:dyDescent="0.2">
      <c r="A8" s="279" t="s">
        <v>212</v>
      </c>
      <c r="B8" s="280"/>
    </row>
    <row r="9" spans="1:4" ht="15.95" customHeight="1" x14ac:dyDescent="0.2">
      <c r="A9" s="279" t="s">
        <v>213</v>
      </c>
      <c r="B9" s="336">
        <f>+F.1!F9</f>
        <v>145737.59187739465</v>
      </c>
      <c r="C9" s="298"/>
      <c r="D9" s="298"/>
    </row>
    <row r="10" spans="1:4" ht="15.95" customHeight="1" x14ac:dyDescent="0.2">
      <c r="A10" s="279" t="s">
        <v>214</v>
      </c>
      <c r="B10" s="281">
        <f>+F.1!F10</f>
        <v>172766.1551724138</v>
      </c>
      <c r="C10" s="298"/>
      <c r="D10" s="298"/>
    </row>
    <row r="11" spans="1:4" ht="15.95" customHeight="1" x14ac:dyDescent="0.2">
      <c r="A11" s="284" t="s">
        <v>216</v>
      </c>
      <c r="B11" s="281">
        <f>+F.1!F11</f>
        <v>72834.0191570881</v>
      </c>
      <c r="C11" s="298"/>
      <c r="D11" s="298"/>
    </row>
    <row r="12" spans="1:4" ht="15.95" customHeight="1" x14ac:dyDescent="0.2">
      <c r="A12" s="279" t="s">
        <v>218</v>
      </c>
      <c r="B12" s="281">
        <f>+F.1!F12</f>
        <v>264137.38850574708</v>
      </c>
      <c r="C12" s="298"/>
      <c r="D12" s="298"/>
    </row>
    <row r="13" spans="1:4" ht="15.95" customHeight="1" x14ac:dyDescent="0.2">
      <c r="A13" s="279" t="s">
        <v>220</v>
      </c>
      <c r="B13" s="281">
        <f>+F.1!F13</f>
        <v>13403.617624521074</v>
      </c>
      <c r="C13" s="298"/>
      <c r="D13" s="298"/>
    </row>
    <row r="14" spans="1:4" ht="15.95" customHeight="1" x14ac:dyDescent="0.2">
      <c r="A14" s="1412" t="s">
        <v>221</v>
      </c>
      <c r="B14" s="1411">
        <f>SUM(B9:B13)</f>
        <v>668878.77233716461</v>
      </c>
      <c r="C14" s="298"/>
      <c r="D14" s="298"/>
    </row>
    <row r="15" spans="1:4" ht="15.95" customHeight="1" x14ac:dyDescent="0.2">
      <c r="A15" s="279" t="s">
        <v>222</v>
      </c>
      <c r="B15" s="281">
        <f>+F.1!$F15</f>
        <v>38484.213793103452</v>
      </c>
      <c r="C15" s="298"/>
      <c r="D15" s="298"/>
    </row>
    <row r="16" spans="1:4" ht="15.95" customHeight="1" x14ac:dyDescent="0.2">
      <c r="A16" s="279" t="s">
        <v>223</v>
      </c>
      <c r="B16" s="281">
        <f>+F.1!$F16</f>
        <v>24619.25057471266</v>
      </c>
      <c r="C16" s="298"/>
      <c r="D16" s="298"/>
    </row>
    <row r="17" spans="1:4" ht="15.95" customHeight="1" x14ac:dyDescent="0.2">
      <c r="A17" s="1412" t="s">
        <v>224</v>
      </c>
      <c r="B17" s="1411">
        <f>B14+B15+B16</f>
        <v>731982.23670498072</v>
      </c>
      <c r="C17" s="298"/>
      <c r="D17" s="298"/>
    </row>
    <row r="18" spans="1:4" ht="15.95" customHeight="1" x14ac:dyDescent="0.2">
      <c r="A18" s="279" t="s">
        <v>225</v>
      </c>
      <c r="B18" s="280">
        <v>1512</v>
      </c>
      <c r="C18" s="298"/>
      <c r="D18" s="298"/>
    </row>
    <row r="19" spans="1:4" ht="15.95" customHeight="1" x14ac:dyDescent="0.2">
      <c r="A19" s="1413" t="s">
        <v>226</v>
      </c>
      <c r="B19" s="1414">
        <f>B17+B18</f>
        <v>733494.23670498072</v>
      </c>
      <c r="C19" s="282"/>
      <c r="D19" s="298"/>
    </row>
    <row r="20" spans="1:4" ht="15.95" customHeight="1" x14ac:dyDescent="0.2">
      <c r="A20" s="294" t="s">
        <v>228</v>
      </c>
      <c r="B20" s="295">
        <f>+CS2_B!B25</f>
        <v>13.496069213256709</v>
      </c>
      <c r="C20" s="1415"/>
    </row>
    <row r="21" spans="1:4" ht="15.95" customHeight="1" x14ac:dyDescent="0.2">
      <c r="A21" s="1410" t="s">
        <v>229</v>
      </c>
      <c r="B21" s="280"/>
    </row>
    <row r="22" spans="1:4" ht="15.95" customHeight="1" x14ac:dyDescent="0.2">
      <c r="A22" s="279" t="s">
        <v>212</v>
      </c>
      <c r="B22" s="280"/>
    </row>
    <row r="23" spans="1:4" ht="15.95" customHeight="1" x14ac:dyDescent="0.2">
      <c r="A23" s="279" t="s">
        <v>213</v>
      </c>
      <c r="B23" s="336">
        <f>+B9*B$20</f>
        <v>1966884.6269506768</v>
      </c>
    </row>
    <row r="24" spans="1:4" ht="15.95" customHeight="1" x14ac:dyDescent="0.2">
      <c r="A24" s="279" t="s">
        <v>214</v>
      </c>
      <c r="B24" s="281">
        <f>+B10*B$20</f>
        <v>2331663.9879151452</v>
      </c>
    </row>
    <row r="25" spans="1:4" ht="15.95" customHeight="1" x14ac:dyDescent="0.2">
      <c r="A25" s="284" t="s">
        <v>216</v>
      </c>
      <c r="B25" s="281">
        <f>+B11*B$20</f>
        <v>982972.96362372604</v>
      </c>
    </row>
    <row r="26" spans="1:4" ht="15.95" customHeight="1" x14ac:dyDescent="0.2">
      <c r="A26" s="279" t="s">
        <v>218</v>
      </c>
      <c r="B26" s="281">
        <f>+B12*B$20</f>
        <v>3564816.4770824397</v>
      </c>
    </row>
    <row r="27" spans="1:4" ht="15.95" customHeight="1" x14ac:dyDescent="0.2">
      <c r="A27" s="279" t="s">
        <v>220</v>
      </c>
      <c r="B27" s="281">
        <f>+B13*B$20</f>
        <v>180896.15116856387</v>
      </c>
    </row>
    <row r="28" spans="1:4" ht="15.95" customHeight="1" x14ac:dyDescent="0.2">
      <c r="A28" s="1412" t="s">
        <v>221</v>
      </c>
      <c r="B28" s="1411">
        <f>SUM(B23:B27)</f>
        <v>9027234.2067405526</v>
      </c>
    </row>
    <row r="29" spans="1:4" ht="15.95" customHeight="1" x14ac:dyDescent="0.2">
      <c r="A29" s="279" t="s">
        <v>222</v>
      </c>
      <c r="B29" s="281">
        <f>+B15*B$20</f>
        <v>519385.61296949268</v>
      </c>
    </row>
    <row r="30" spans="1:4" ht="15.95" customHeight="1" x14ac:dyDescent="0.2">
      <c r="A30" s="279" t="s">
        <v>223</v>
      </c>
      <c r="B30" s="281">
        <f>+B16*B$20</f>
        <v>332263.10973483208</v>
      </c>
    </row>
    <row r="31" spans="1:4" ht="15.95" customHeight="1" x14ac:dyDescent="0.2">
      <c r="A31" s="1412" t="s">
        <v>230</v>
      </c>
      <c r="B31" s="1411">
        <f>B28+B29+B30</f>
        <v>9878882.9294448774</v>
      </c>
    </row>
    <row r="32" spans="1:4" ht="15.95" customHeight="1" x14ac:dyDescent="0.2">
      <c r="A32" s="279" t="s">
        <v>232</v>
      </c>
      <c r="B32" s="281">
        <f>+B18*B$20</f>
        <v>20406.056650444145</v>
      </c>
    </row>
    <row r="33" spans="1:4" ht="15.95" customHeight="1" x14ac:dyDescent="0.2">
      <c r="A33" s="296" t="s">
        <v>234</v>
      </c>
      <c r="B33" s="1416">
        <f>SUM(B31:B32)</f>
        <v>9899288.9860953223</v>
      </c>
      <c r="C33" s="282"/>
      <c r="D33" s="298"/>
    </row>
    <row r="34" spans="1:4" ht="15.95" customHeight="1" x14ac:dyDescent="0.2"/>
  </sheetData>
  <pageMargins left="1" right="0.75" top="0.75" bottom="0.5" header="0.5" footer="0.5"/>
  <pageSetup orientation="portrait" r:id="rId1"/>
  <headerFooter>
    <oddFooter>&amp;L&amp;KFF0000Final Rate Application&amp;CPage &amp;P of &amp;N&amp;R02/10/2017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22"/>
  <sheetViews>
    <sheetView zoomScaleNormal="100" workbookViewId="0"/>
  </sheetViews>
  <sheetFormatPr defaultRowHeight="12.75" x14ac:dyDescent="0.2"/>
  <cols>
    <col min="1" max="1" width="24.7109375" bestFit="1" customWidth="1"/>
    <col min="2" max="2" width="10" customWidth="1"/>
    <col min="3" max="3" width="18.85546875" customWidth="1"/>
    <col min="5" max="5" width="10.28515625" bestFit="1" customWidth="1"/>
  </cols>
  <sheetData>
    <row r="1" spans="1:5" x14ac:dyDescent="0.2">
      <c r="A1" s="112" t="str">
        <f>CS2_B!$A$2</f>
        <v>Recology San Francisco</v>
      </c>
    </row>
    <row r="2" spans="1:5" ht="15" x14ac:dyDescent="0.25">
      <c r="A2" s="1384" t="s">
        <v>66</v>
      </c>
    </row>
    <row r="3" spans="1:5" x14ac:dyDescent="0.2">
      <c r="A3" s="706" t="s">
        <v>707</v>
      </c>
    </row>
    <row r="4" spans="1:5" x14ac:dyDescent="0.2">
      <c r="A4" s="1417" t="str">
        <f>G.1!$A$3</f>
        <v>Payroll Headcount and Expenses</v>
      </c>
    </row>
    <row r="5" spans="1:5" x14ac:dyDescent="0.2">
      <c r="A5" s="1418"/>
    </row>
    <row r="8" spans="1:5" x14ac:dyDescent="0.2">
      <c r="A8" s="302" t="s">
        <v>2</v>
      </c>
      <c r="B8" s="1419"/>
      <c r="C8" s="19" t="s">
        <v>69</v>
      </c>
    </row>
    <row r="9" spans="1:5" x14ac:dyDescent="0.2">
      <c r="A9" s="448" t="s">
        <v>300</v>
      </c>
      <c r="B9" s="443" t="s">
        <v>297</v>
      </c>
      <c r="C9" s="1420" t="s">
        <v>205</v>
      </c>
    </row>
    <row r="10" spans="1:5" x14ac:dyDescent="0.2">
      <c r="A10" s="1421" t="s">
        <v>301</v>
      </c>
      <c r="B10" s="1422">
        <v>4</v>
      </c>
      <c r="C10" s="1423">
        <f>B10*40*2080</f>
        <v>332800</v>
      </c>
      <c r="E10" s="1448"/>
    </row>
    <row r="11" spans="1:5" x14ac:dyDescent="0.2">
      <c r="A11" s="460" t="s">
        <v>302</v>
      </c>
      <c r="B11" s="463">
        <v>0</v>
      </c>
      <c r="C11" s="464">
        <v>0</v>
      </c>
    </row>
    <row r="12" spans="1:5" x14ac:dyDescent="0.2">
      <c r="A12" s="465" t="s">
        <v>303</v>
      </c>
      <c r="B12" s="463">
        <v>0</v>
      </c>
      <c r="C12" s="464">
        <v>0</v>
      </c>
    </row>
    <row r="13" spans="1:5" x14ac:dyDescent="0.2">
      <c r="A13" s="465" t="s">
        <v>304</v>
      </c>
      <c r="B13" s="463">
        <v>0</v>
      </c>
      <c r="C13" s="464">
        <v>0</v>
      </c>
    </row>
    <row r="14" spans="1:5" x14ac:dyDescent="0.2">
      <c r="A14" s="460" t="s">
        <v>305</v>
      </c>
      <c r="B14" s="463">
        <v>2</v>
      </c>
      <c r="C14" s="464">
        <f>B14*39*2080</f>
        <v>162240</v>
      </c>
    </row>
    <row r="15" spans="1:5" x14ac:dyDescent="0.2">
      <c r="A15" s="460" t="s">
        <v>306</v>
      </c>
      <c r="B15" s="463">
        <v>0</v>
      </c>
      <c r="C15" s="464">
        <v>0</v>
      </c>
    </row>
    <row r="16" spans="1:5" x14ac:dyDescent="0.2">
      <c r="A16" s="465" t="s">
        <v>307</v>
      </c>
      <c r="B16" s="463">
        <v>44</v>
      </c>
      <c r="C16" s="464">
        <f>B16*28*2080</f>
        <v>2562560</v>
      </c>
      <c r="D16" s="1448"/>
    </row>
    <row r="17" spans="1:3" x14ac:dyDescent="0.2">
      <c r="A17" s="465" t="s">
        <v>308</v>
      </c>
      <c r="B17" s="463">
        <v>0</v>
      </c>
      <c r="C17" s="464">
        <v>0</v>
      </c>
    </row>
    <row r="18" spans="1:3" x14ac:dyDescent="0.2">
      <c r="A18" s="465" t="s">
        <v>309</v>
      </c>
      <c r="B18" s="463">
        <v>0</v>
      </c>
      <c r="C18" s="464">
        <v>0</v>
      </c>
    </row>
    <row r="19" spans="1:3" x14ac:dyDescent="0.2">
      <c r="A19" s="466" t="s">
        <v>310</v>
      </c>
      <c r="B19" s="467">
        <v>0</v>
      </c>
      <c r="C19" s="468">
        <v>0</v>
      </c>
    </row>
    <row r="20" spans="1:3" x14ac:dyDescent="0.2">
      <c r="A20" s="1425"/>
      <c r="B20" s="1426"/>
      <c r="C20" s="1427"/>
    </row>
    <row r="21" spans="1:3" ht="13.5" thickBot="1" x14ac:dyDescent="0.25">
      <c r="A21" s="472" t="s">
        <v>205</v>
      </c>
      <c r="B21" s="473">
        <f>SUM(B10:B20)</f>
        <v>50</v>
      </c>
      <c r="C21" s="1449">
        <f>SUM(C10:C19)</f>
        <v>3057600</v>
      </c>
    </row>
    <row r="22" spans="1:3" ht="13.5" thickTop="1" x14ac:dyDescent="0.2"/>
  </sheetData>
  <pageMargins left="1" right="0.75" top="0.75" bottom="0.5" header="0.5" footer="0.5"/>
  <pageSetup orientation="portrait" r:id="rId1"/>
  <headerFooter>
    <oddFooter>&amp;L&amp;KFF0000Final Rate Application&amp;CPage &amp;P of &amp;N&amp;R02/10/2017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C12"/>
  <sheetViews>
    <sheetView workbookViewId="0"/>
  </sheetViews>
  <sheetFormatPr defaultRowHeight="12.75" x14ac:dyDescent="0.2"/>
  <cols>
    <col min="1" max="1" width="33" style="12" customWidth="1"/>
    <col min="2" max="2" width="16.140625" style="12" bestFit="1" customWidth="1"/>
    <col min="3" max="16384" width="9.140625" style="12"/>
  </cols>
  <sheetData>
    <row r="1" spans="1:3" ht="12.75" customHeight="1" x14ac:dyDescent="0.2">
      <c r="A1" s="112" t="str">
        <f>CS2_B!$A$2</f>
        <v>Recology San Francisco</v>
      </c>
      <c r="C1" s="703"/>
    </row>
    <row r="2" spans="1:3" ht="12.75" customHeight="1" x14ac:dyDescent="0.25">
      <c r="A2" s="1384" t="s">
        <v>66</v>
      </c>
      <c r="C2" s="703"/>
    </row>
    <row r="3" spans="1:3" ht="12.75" customHeight="1" x14ac:dyDescent="0.2">
      <c r="A3" s="436" t="s">
        <v>360</v>
      </c>
    </row>
    <row r="4" spans="1:3" ht="12.75" customHeight="1" x14ac:dyDescent="0.2">
      <c r="A4" s="265" t="str">
        <f>H.1!$A$3</f>
        <v>Depreciation and Lease Expenses</v>
      </c>
    </row>
    <row r="5" spans="1:3" x14ac:dyDescent="0.2">
      <c r="A5" s="706"/>
    </row>
    <row r="6" spans="1:3" x14ac:dyDescent="0.2">
      <c r="A6" s="349"/>
    </row>
    <row r="7" spans="1:3" ht="18.75" customHeight="1" x14ac:dyDescent="0.2">
      <c r="A7" s="1428"/>
      <c r="B7" s="1429"/>
    </row>
    <row r="8" spans="1:3" ht="18.75" customHeight="1" x14ac:dyDescent="0.2">
      <c r="A8" s="711" t="s">
        <v>2</v>
      </c>
      <c r="B8" s="713" t="s">
        <v>69</v>
      </c>
    </row>
    <row r="9" spans="1:3" ht="12" customHeight="1" x14ac:dyDescent="0.2">
      <c r="A9" s="734"/>
      <c r="B9" s="1430"/>
    </row>
    <row r="10" spans="1:3" x14ac:dyDescent="0.2">
      <c r="A10" s="1431" t="s">
        <v>368</v>
      </c>
      <c r="B10" s="1432">
        <f>+CS2_H.3!D12</f>
        <v>1897580.4000000001</v>
      </c>
    </row>
    <row r="11" spans="1:3" x14ac:dyDescent="0.2">
      <c r="A11" s="1433" t="s">
        <v>708</v>
      </c>
      <c r="B11" s="718">
        <f>CS2_H.2!D19</f>
        <v>285697.06633168797</v>
      </c>
    </row>
    <row r="12" spans="1:3" collapsed="1" x14ac:dyDescent="0.2"/>
  </sheetData>
  <pageMargins left="1" right="0.75" top="0.75" bottom="0.5" header="0.5" footer="0.5"/>
  <pageSetup orientation="portrait" r:id="rId1"/>
  <headerFooter>
    <oddFooter>&amp;L&amp;KFF0000Final Rate Application&amp;CPage &amp;P of &amp;N&amp;R02/10/2017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L80"/>
  <sheetViews>
    <sheetView showOutlineSymbols="0" zoomScaleNormal="100" zoomScaleSheetLayoutView="100" workbookViewId="0"/>
  </sheetViews>
  <sheetFormatPr defaultRowHeight="12.75" outlineLevelRow="1" x14ac:dyDescent="0.2"/>
  <cols>
    <col min="1" max="1" width="47.7109375" style="12" customWidth="1"/>
    <col min="2" max="2" width="14.5703125" style="12" customWidth="1"/>
    <col min="3" max="3" width="10.5703125" style="12" customWidth="1"/>
    <col min="4" max="4" width="13" style="12" customWidth="1"/>
    <col min="5" max="5" width="1.28515625" style="12" customWidth="1"/>
    <col min="6" max="6" width="4.5703125" style="12" customWidth="1"/>
    <col min="7" max="7" width="10.28515625" style="12" bestFit="1" customWidth="1"/>
    <col min="8" max="16384" width="9.140625" style="12"/>
  </cols>
  <sheetData>
    <row r="1" spans="1:12" ht="12.75" customHeight="1" x14ac:dyDescent="0.2">
      <c r="A1" s="112" t="str">
        <f>CS2_B!$A$2</f>
        <v>Recology San Francisco</v>
      </c>
    </row>
    <row r="2" spans="1:12" ht="12.75" customHeight="1" x14ac:dyDescent="0.2">
      <c r="A2" s="1404" t="str">
        <f>CS2_B!$A$3</f>
        <v>Contingent Schedule 2 - Trash Processing</v>
      </c>
    </row>
    <row r="3" spans="1:12" ht="12.75" customHeight="1" x14ac:dyDescent="0.2">
      <c r="A3" s="924" t="s">
        <v>375</v>
      </c>
    </row>
    <row r="4" spans="1:12" ht="12.75" customHeight="1" x14ac:dyDescent="0.2">
      <c r="A4" s="265" t="str">
        <f>H.2!$A$3</f>
        <v>Detailed Capital Items and Lease Expenses</v>
      </c>
    </row>
    <row r="6" spans="1:12" hidden="1" outlineLevel="1" x14ac:dyDescent="0.2">
      <c r="C6" s="12">
        <v>7</v>
      </c>
      <c r="F6" s="12">
        <v>1</v>
      </c>
    </row>
    <row r="7" spans="1:12" collapsed="1" x14ac:dyDescent="0.2">
      <c r="F7" s="12">
        <f>+F6+1</f>
        <v>2</v>
      </c>
    </row>
    <row r="8" spans="1:12" x14ac:dyDescent="0.2">
      <c r="B8" s="1603" t="s">
        <v>378</v>
      </c>
      <c r="C8" s="1603"/>
      <c r="D8" s="1603"/>
      <c r="F8" s="12">
        <f>+F7+1</f>
        <v>3</v>
      </c>
    </row>
    <row r="9" spans="1:12" x14ac:dyDescent="0.2">
      <c r="B9" s="901"/>
      <c r="C9" s="1434" t="s">
        <v>379</v>
      </c>
      <c r="D9" s="759"/>
      <c r="F9" s="12">
        <f>+F8+1</f>
        <v>4</v>
      </c>
    </row>
    <row r="10" spans="1:12" x14ac:dyDescent="0.2">
      <c r="B10" s="1435" t="s">
        <v>380</v>
      </c>
      <c r="C10" s="1436">
        <f>H.2!H8</f>
        <v>1.3333831144065099E-2</v>
      </c>
      <c r="D10" s="766"/>
      <c r="F10" s="12">
        <f>+F9+1</f>
        <v>5</v>
      </c>
    </row>
    <row r="11" spans="1:12" x14ac:dyDescent="0.2">
      <c r="B11" s="1345" t="s">
        <v>381</v>
      </c>
      <c r="C11" s="1437">
        <f>H.2!H9</f>
        <v>0.1600059737287812</v>
      </c>
      <c r="D11" s="1274"/>
      <c r="F11" s="12">
        <f>+F10+1</f>
        <v>6</v>
      </c>
    </row>
    <row r="12" spans="1:12" x14ac:dyDescent="0.2">
      <c r="B12" s="1450"/>
      <c r="C12" s="1436"/>
      <c r="D12" s="407"/>
    </row>
    <row r="13" spans="1:12" x14ac:dyDescent="0.2">
      <c r="B13" s="1451"/>
      <c r="C13" s="1437"/>
      <c r="D13" s="1273"/>
    </row>
    <row r="14" spans="1:12" ht="17.25" customHeight="1" x14ac:dyDescent="0.2">
      <c r="A14" s="1122"/>
      <c r="B14" s="1605" t="s">
        <v>383</v>
      </c>
      <c r="C14" s="1605"/>
      <c r="D14" s="1605"/>
    </row>
    <row r="15" spans="1:12" ht="18" customHeight="1" x14ac:dyDescent="0.2">
      <c r="A15" s="347" t="s">
        <v>2</v>
      </c>
      <c r="B15" s="1452" t="s">
        <v>69</v>
      </c>
      <c r="C15" s="877" t="s">
        <v>387</v>
      </c>
      <c r="D15" s="1439" t="s">
        <v>69</v>
      </c>
      <c r="F15" s="746"/>
    </row>
    <row r="16" spans="1:12" ht="16.5" customHeight="1" x14ac:dyDescent="0.2">
      <c r="A16" s="1440" t="s">
        <v>712</v>
      </c>
      <c r="B16" s="1453">
        <f>727770*2</f>
        <v>1455540</v>
      </c>
      <c r="C16" s="1441">
        <v>7</v>
      </c>
      <c r="D16" s="1107">
        <f>+B16*C11</f>
        <v>232895.09500119017</v>
      </c>
      <c r="F16" s="170"/>
      <c r="G16" s="258"/>
      <c r="H16" s="258"/>
      <c r="I16" s="258"/>
      <c r="J16" s="258"/>
      <c r="K16" s="258"/>
      <c r="L16" s="258"/>
    </row>
    <row r="17" spans="1:12" ht="16.5" customHeight="1" x14ac:dyDescent="0.2">
      <c r="A17" s="1442" t="s">
        <v>717</v>
      </c>
      <c r="B17" s="341">
        <v>330000</v>
      </c>
      <c r="C17" s="1441">
        <v>7</v>
      </c>
      <c r="D17" s="1107">
        <f>+B17*C11</f>
        <v>52801.971330497792</v>
      </c>
      <c r="F17" s="166"/>
      <c r="G17" s="258"/>
      <c r="H17" s="258"/>
      <c r="I17" s="258"/>
      <c r="J17" s="258"/>
      <c r="K17" s="258"/>
      <c r="L17" s="258"/>
    </row>
    <row r="18" spans="1:12" ht="5.0999999999999996" customHeight="1" x14ac:dyDescent="0.2">
      <c r="A18" s="884"/>
      <c r="B18" s="1149"/>
      <c r="C18" s="1149"/>
      <c r="D18" s="1149"/>
    </row>
    <row r="19" spans="1:12" x14ac:dyDescent="0.2">
      <c r="A19" s="1443" t="s">
        <v>713</v>
      </c>
      <c r="B19" s="886">
        <f>SUM(B16:B18)</f>
        <v>1785540</v>
      </c>
      <c r="C19" s="886"/>
      <c r="D19" s="886">
        <f>SUM(D16:D18)</f>
        <v>285697.06633168797</v>
      </c>
    </row>
    <row r="20" spans="1:12" x14ac:dyDescent="0.2">
      <c r="B20" s="343"/>
    </row>
    <row r="21" spans="1:12" x14ac:dyDescent="0.2">
      <c r="B21" s="343"/>
    </row>
    <row r="22" spans="1:12" x14ac:dyDescent="0.2">
      <c r="B22" s="343"/>
    </row>
    <row r="23" spans="1:12" x14ac:dyDescent="0.2">
      <c r="B23" s="343"/>
    </row>
    <row r="24" spans="1:12" x14ac:dyDescent="0.2">
      <c r="B24" s="343"/>
    </row>
    <row r="25" spans="1:12" x14ac:dyDescent="0.2">
      <c r="B25" s="407"/>
    </row>
    <row r="26" spans="1:12" x14ac:dyDescent="0.2">
      <c r="B26" s="407"/>
    </row>
    <row r="27" spans="1:12" x14ac:dyDescent="0.2">
      <c r="B27" s="407"/>
    </row>
    <row r="28" spans="1:12" x14ac:dyDescent="0.2">
      <c r="B28" s="407"/>
    </row>
    <row r="29" spans="1:12" x14ac:dyDescent="0.2">
      <c r="B29" s="407"/>
    </row>
    <row r="30" spans="1:12" x14ac:dyDescent="0.2">
      <c r="B30" s="407"/>
    </row>
    <row r="31" spans="1:12" x14ac:dyDescent="0.2">
      <c r="B31" s="407"/>
    </row>
    <row r="32" spans="1:12" x14ac:dyDescent="0.2">
      <c r="B32" s="407"/>
    </row>
    <row r="33" spans="2:2" x14ac:dyDescent="0.2">
      <c r="B33" s="407"/>
    </row>
    <row r="34" spans="2:2" x14ac:dyDescent="0.2">
      <c r="B34" s="407"/>
    </row>
    <row r="35" spans="2:2" x14ac:dyDescent="0.2">
      <c r="B35" s="407"/>
    </row>
    <row r="36" spans="2:2" x14ac:dyDescent="0.2">
      <c r="B36" s="407"/>
    </row>
    <row r="37" spans="2:2" x14ac:dyDescent="0.2">
      <c r="B37" s="407"/>
    </row>
    <row r="38" spans="2:2" x14ac:dyDescent="0.2">
      <c r="B38" s="407"/>
    </row>
    <row r="39" spans="2:2" x14ac:dyDescent="0.2">
      <c r="B39" s="407"/>
    </row>
    <row r="40" spans="2:2" x14ac:dyDescent="0.2">
      <c r="B40" s="407"/>
    </row>
    <row r="41" spans="2:2" x14ac:dyDescent="0.2">
      <c r="B41" s="407"/>
    </row>
    <row r="42" spans="2:2" x14ac:dyDescent="0.2">
      <c r="B42" s="407"/>
    </row>
    <row r="43" spans="2:2" x14ac:dyDescent="0.2">
      <c r="B43" s="407"/>
    </row>
    <row r="44" spans="2:2" x14ac:dyDescent="0.2">
      <c r="B44" s="407"/>
    </row>
    <row r="45" spans="2:2" x14ac:dyDescent="0.2">
      <c r="B45" s="407"/>
    </row>
    <row r="46" spans="2:2" x14ac:dyDescent="0.2">
      <c r="B46" s="407"/>
    </row>
    <row r="47" spans="2:2" x14ac:dyDescent="0.2">
      <c r="B47" s="407"/>
    </row>
    <row r="48" spans="2:2" x14ac:dyDescent="0.2">
      <c r="B48" s="407"/>
    </row>
    <row r="49" spans="2:2" x14ac:dyDescent="0.2">
      <c r="B49" s="407"/>
    </row>
    <row r="50" spans="2:2" x14ac:dyDescent="0.2">
      <c r="B50" s="407"/>
    </row>
    <row r="51" spans="2:2" x14ac:dyDescent="0.2">
      <c r="B51" s="407"/>
    </row>
    <row r="52" spans="2:2" x14ac:dyDescent="0.2">
      <c r="B52" s="407"/>
    </row>
    <row r="53" spans="2:2" x14ac:dyDescent="0.2">
      <c r="B53" s="407"/>
    </row>
    <row r="54" spans="2:2" x14ac:dyDescent="0.2">
      <c r="B54" s="407"/>
    </row>
    <row r="55" spans="2:2" x14ac:dyDescent="0.2">
      <c r="B55" s="407"/>
    </row>
    <row r="56" spans="2:2" x14ac:dyDescent="0.2">
      <c r="B56" s="407"/>
    </row>
    <row r="57" spans="2:2" x14ac:dyDescent="0.2">
      <c r="B57" s="407"/>
    </row>
    <row r="58" spans="2:2" x14ac:dyDescent="0.2">
      <c r="B58" s="407"/>
    </row>
    <row r="59" spans="2:2" x14ac:dyDescent="0.2">
      <c r="B59" s="407"/>
    </row>
    <row r="60" spans="2:2" x14ac:dyDescent="0.2">
      <c r="B60" s="407"/>
    </row>
    <row r="61" spans="2:2" x14ac:dyDescent="0.2">
      <c r="B61" s="407"/>
    </row>
    <row r="62" spans="2:2" x14ac:dyDescent="0.2">
      <c r="B62" s="407"/>
    </row>
    <row r="63" spans="2:2" x14ac:dyDescent="0.2">
      <c r="B63" s="407"/>
    </row>
    <row r="64" spans="2:2" x14ac:dyDescent="0.2">
      <c r="B64" s="407"/>
    </row>
    <row r="65" spans="2:2" x14ac:dyDescent="0.2">
      <c r="B65" s="407"/>
    </row>
    <row r="66" spans="2:2" x14ac:dyDescent="0.2">
      <c r="B66" s="407"/>
    </row>
    <row r="67" spans="2:2" x14ac:dyDescent="0.2">
      <c r="B67" s="407"/>
    </row>
    <row r="68" spans="2:2" x14ac:dyDescent="0.2">
      <c r="B68" s="407"/>
    </row>
    <row r="69" spans="2:2" x14ac:dyDescent="0.2">
      <c r="B69" s="407"/>
    </row>
    <row r="70" spans="2:2" x14ac:dyDescent="0.2">
      <c r="B70" s="407"/>
    </row>
    <row r="71" spans="2:2" x14ac:dyDescent="0.2">
      <c r="B71" s="407"/>
    </row>
    <row r="72" spans="2:2" x14ac:dyDescent="0.2">
      <c r="B72" s="407"/>
    </row>
    <row r="73" spans="2:2" x14ac:dyDescent="0.2">
      <c r="B73" s="407"/>
    </row>
    <row r="74" spans="2:2" x14ac:dyDescent="0.2">
      <c r="B74" s="407"/>
    </row>
    <row r="75" spans="2:2" x14ac:dyDescent="0.2">
      <c r="B75" s="407"/>
    </row>
    <row r="76" spans="2:2" x14ac:dyDescent="0.2">
      <c r="B76" s="407"/>
    </row>
    <row r="77" spans="2:2" x14ac:dyDescent="0.2">
      <c r="B77" s="407"/>
    </row>
    <row r="78" spans="2:2" x14ac:dyDescent="0.2">
      <c r="B78" s="407"/>
    </row>
    <row r="79" spans="2:2" x14ac:dyDescent="0.2">
      <c r="B79" s="407"/>
    </row>
    <row r="80" spans="2:2" x14ac:dyDescent="0.2">
      <c r="B80" s="407"/>
    </row>
  </sheetData>
  <mergeCells count="2">
    <mergeCell ref="B8:D8"/>
    <mergeCell ref="B14:D14"/>
  </mergeCells>
  <pageMargins left="1" right="0.75" top="0.75" bottom="0.5" header="0.5" footer="0.5"/>
  <pageSetup orientation="portrait" r:id="rId1"/>
  <headerFooter>
    <oddFooter>&amp;L&amp;KFF0000Final Rate Application&amp;CPage &amp;P of &amp;N&amp;R02/10/2017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L73"/>
  <sheetViews>
    <sheetView workbookViewId="0"/>
  </sheetViews>
  <sheetFormatPr defaultRowHeight="12.75" x14ac:dyDescent="0.2"/>
  <cols>
    <col min="1" max="1" width="47.7109375" style="12" customWidth="1"/>
    <col min="2" max="2" width="14.5703125" style="12" customWidth="1"/>
    <col min="3" max="3" width="10.5703125" style="12" customWidth="1"/>
    <col min="4" max="4" width="13" style="12" customWidth="1"/>
    <col min="5" max="5" width="1.28515625" style="12" customWidth="1"/>
    <col min="6" max="6" width="22.85546875" style="12" customWidth="1"/>
    <col min="7" max="7" width="10.28515625" style="12" bestFit="1" customWidth="1"/>
    <col min="8" max="16384" width="9.140625" style="12"/>
  </cols>
  <sheetData>
    <row r="1" spans="1:12" ht="12.75" customHeight="1" x14ac:dyDescent="0.2">
      <c r="A1" s="112" t="str">
        <f>CS2_B!$A$2</f>
        <v>Recology San Francisco</v>
      </c>
    </row>
    <row r="2" spans="1:12" ht="12.75" customHeight="1" x14ac:dyDescent="0.2">
      <c r="A2" s="1404" t="str">
        <f>CS2_B!$A$3</f>
        <v>Contingent Schedule 2 - Trash Processing</v>
      </c>
    </row>
    <row r="3" spans="1:12" ht="12.75" customHeight="1" x14ac:dyDescent="0.2">
      <c r="A3" s="436" t="s">
        <v>437</v>
      </c>
    </row>
    <row r="4" spans="1:12" ht="12.75" customHeight="1" x14ac:dyDescent="0.2">
      <c r="A4" s="265" t="str">
        <f>H.3!$A$3</f>
        <v>Depreciation Expenses</v>
      </c>
    </row>
    <row r="6" spans="1:12" x14ac:dyDescent="0.2">
      <c r="A6" s="349"/>
      <c r="C6" s="411"/>
      <c r="D6" s="868"/>
    </row>
    <row r="7" spans="1:12" ht="17.25" customHeight="1" x14ac:dyDescent="0.2">
      <c r="A7" s="1122"/>
      <c r="B7" s="1444"/>
      <c r="C7" s="1276" t="s">
        <v>438</v>
      </c>
      <c r="D7" s="1445"/>
    </row>
    <row r="8" spans="1:12" ht="18" customHeight="1" x14ac:dyDescent="0.2">
      <c r="A8" s="347" t="s">
        <v>2</v>
      </c>
      <c r="B8" s="876" t="s">
        <v>69</v>
      </c>
      <c r="C8" s="877" t="s">
        <v>439</v>
      </c>
      <c r="D8" s="1439" t="s">
        <v>69</v>
      </c>
      <c r="F8" s="746"/>
    </row>
    <row r="9" spans="1:12" ht="18" customHeight="1" x14ac:dyDescent="0.2">
      <c r="A9" s="1442" t="s">
        <v>718</v>
      </c>
      <c r="B9" s="1107">
        <v>1021178</v>
      </c>
      <c r="C9" s="1441">
        <v>10</v>
      </c>
      <c r="D9" s="1107">
        <f>+B9/C9</f>
        <v>102117.8</v>
      </c>
      <c r="F9" s="746"/>
    </row>
    <row r="10" spans="1:12" ht="16.5" customHeight="1" x14ac:dyDescent="0.2">
      <c r="A10" s="1440" t="s">
        <v>714</v>
      </c>
      <c r="B10" s="1107">
        <v>17954626</v>
      </c>
      <c r="C10" s="1441">
        <v>10</v>
      </c>
      <c r="D10" s="1107">
        <f>+B10/C10</f>
        <v>1795462.6</v>
      </c>
      <c r="F10" s="166"/>
      <c r="G10" s="258"/>
      <c r="H10" s="258"/>
      <c r="I10" s="258"/>
      <c r="J10" s="258"/>
      <c r="K10" s="258"/>
      <c r="L10" s="258"/>
    </row>
    <row r="11" spans="1:12" ht="5.0999999999999996" customHeight="1" x14ac:dyDescent="0.2">
      <c r="A11" s="884"/>
      <c r="B11" s="1149"/>
      <c r="C11" s="1149"/>
      <c r="D11" s="1149"/>
    </row>
    <row r="12" spans="1:12" x14ac:dyDescent="0.2">
      <c r="A12" s="1443" t="s">
        <v>374</v>
      </c>
      <c r="B12" s="886">
        <f>SUM(B9:B11)</f>
        <v>18975804</v>
      </c>
      <c r="C12" s="886"/>
      <c r="D12" s="886">
        <f>SUM(D9:D11)</f>
        <v>1897580.4000000001</v>
      </c>
    </row>
    <row r="13" spans="1:12" x14ac:dyDescent="0.2">
      <c r="B13" s="343"/>
    </row>
    <row r="14" spans="1:12" x14ac:dyDescent="0.2">
      <c r="B14" s="343"/>
    </row>
    <row r="15" spans="1:12" x14ac:dyDescent="0.2">
      <c r="B15" s="343"/>
    </row>
    <row r="16" spans="1:12" x14ac:dyDescent="0.2">
      <c r="B16" s="343"/>
    </row>
    <row r="17" spans="2:2" x14ac:dyDescent="0.2">
      <c r="B17" s="343"/>
    </row>
    <row r="18" spans="2:2" x14ac:dyDescent="0.2">
      <c r="B18" s="407"/>
    </row>
    <row r="19" spans="2:2" x14ac:dyDescent="0.2">
      <c r="B19" s="407"/>
    </row>
    <row r="20" spans="2:2" x14ac:dyDescent="0.2">
      <c r="B20" s="407"/>
    </row>
    <row r="21" spans="2:2" x14ac:dyDescent="0.2">
      <c r="B21" s="407"/>
    </row>
    <row r="22" spans="2:2" x14ac:dyDescent="0.2">
      <c r="B22" s="407"/>
    </row>
    <row r="23" spans="2:2" x14ac:dyDescent="0.2">
      <c r="B23" s="407"/>
    </row>
    <row r="24" spans="2:2" x14ac:dyDescent="0.2">
      <c r="B24" s="407"/>
    </row>
    <row r="25" spans="2:2" x14ac:dyDescent="0.2">
      <c r="B25" s="407"/>
    </row>
    <row r="26" spans="2:2" x14ac:dyDescent="0.2">
      <c r="B26" s="407"/>
    </row>
    <row r="27" spans="2:2" x14ac:dyDescent="0.2">
      <c r="B27" s="407"/>
    </row>
    <row r="28" spans="2:2" x14ac:dyDescent="0.2">
      <c r="B28" s="407"/>
    </row>
    <row r="29" spans="2:2" x14ac:dyDescent="0.2">
      <c r="B29" s="407"/>
    </row>
    <row r="30" spans="2:2" x14ac:dyDescent="0.2">
      <c r="B30" s="407"/>
    </row>
    <row r="31" spans="2:2" x14ac:dyDescent="0.2">
      <c r="B31" s="407"/>
    </row>
    <row r="32" spans="2:2" x14ac:dyDescent="0.2">
      <c r="B32" s="407"/>
    </row>
    <row r="33" spans="2:2" x14ac:dyDescent="0.2">
      <c r="B33" s="407"/>
    </row>
    <row r="34" spans="2:2" x14ac:dyDescent="0.2">
      <c r="B34" s="407"/>
    </row>
    <row r="35" spans="2:2" x14ac:dyDescent="0.2">
      <c r="B35" s="407"/>
    </row>
    <row r="36" spans="2:2" x14ac:dyDescent="0.2">
      <c r="B36" s="407"/>
    </row>
    <row r="37" spans="2:2" x14ac:dyDescent="0.2">
      <c r="B37" s="407"/>
    </row>
    <row r="38" spans="2:2" x14ac:dyDescent="0.2">
      <c r="B38" s="407"/>
    </row>
    <row r="39" spans="2:2" x14ac:dyDescent="0.2">
      <c r="B39" s="407"/>
    </row>
    <row r="40" spans="2:2" x14ac:dyDescent="0.2">
      <c r="B40" s="407"/>
    </row>
    <row r="41" spans="2:2" x14ac:dyDescent="0.2">
      <c r="B41" s="407"/>
    </row>
    <row r="42" spans="2:2" x14ac:dyDescent="0.2">
      <c r="B42" s="407"/>
    </row>
    <row r="43" spans="2:2" x14ac:dyDescent="0.2">
      <c r="B43" s="407"/>
    </row>
    <row r="44" spans="2:2" x14ac:dyDescent="0.2">
      <c r="B44" s="407"/>
    </row>
    <row r="45" spans="2:2" x14ac:dyDescent="0.2">
      <c r="B45" s="407"/>
    </row>
    <row r="46" spans="2:2" x14ac:dyDescent="0.2">
      <c r="B46" s="407"/>
    </row>
    <row r="47" spans="2:2" x14ac:dyDescent="0.2">
      <c r="B47" s="407"/>
    </row>
    <row r="48" spans="2:2" x14ac:dyDescent="0.2">
      <c r="B48" s="407"/>
    </row>
    <row r="49" spans="2:2" x14ac:dyDescent="0.2">
      <c r="B49" s="407"/>
    </row>
    <row r="50" spans="2:2" x14ac:dyDescent="0.2">
      <c r="B50" s="407"/>
    </row>
    <row r="51" spans="2:2" x14ac:dyDescent="0.2">
      <c r="B51" s="407"/>
    </row>
    <row r="52" spans="2:2" x14ac:dyDescent="0.2">
      <c r="B52" s="407"/>
    </row>
    <row r="53" spans="2:2" x14ac:dyDescent="0.2">
      <c r="B53" s="407"/>
    </row>
    <row r="54" spans="2:2" x14ac:dyDescent="0.2">
      <c r="B54" s="407"/>
    </row>
    <row r="55" spans="2:2" x14ac:dyDescent="0.2">
      <c r="B55" s="407"/>
    </row>
    <row r="56" spans="2:2" x14ac:dyDescent="0.2">
      <c r="B56" s="407"/>
    </row>
    <row r="57" spans="2:2" x14ac:dyDescent="0.2">
      <c r="B57" s="407"/>
    </row>
    <row r="58" spans="2:2" x14ac:dyDescent="0.2">
      <c r="B58" s="407"/>
    </row>
    <row r="59" spans="2:2" x14ac:dyDescent="0.2">
      <c r="B59" s="407"/>
    </row>
    <row r="60" spans="2:2" x14ac:dyDescent="0.2">
      <c r="B60" s="407"/>
    </row>
    <row r="61" spans="2:2" x14ac:dyDescent="0.2">
      <c r="B61" s="407"/>
    </row>
    <row r="62" spans="2:2" x14ac:dyDescent="0.2">
      <c r="B62" s="407"/>
    </row>
    <row r="63" spans="2:2" x14ac:dyDescent="0.2">
      <c r="B63" s="407"/>
    </row>
    <row r="64" spans="2:2" x14ac:dyDescent="0.2">
      <c r="B64" s="407"/>
    </row>
    <row r="65" spans="2:2" x14ac:dyDescent="0.2">
      <c r="B65" s="407"/>
    </row>
    <row r="66" spans="2:2" x14ac:dyDescent="0.2">
      <c r="B66" s="407"/>
    </row>
    <row r="67" spans="2:2" x14ac:dyDescent="0.2">
      <c r="B67" s="407"/>
    </row>
    <row r="68" spans="2:2" x14ac:dyDescent="0.2">
      <c r="B68" s="407"/>
    </row>
    <row r="69" spans="2:2" x14ac:dyDescent="0.2">
      <c r="B69" s="407"/>
    </row>
    <row r="70" spans="2:2" x14ac:dyDescent="0.2">
      <c r="B70" s="407"/>
    </row>
    <row r="71" spans="2:2" x14ac:dyDescent="0.2">
      <c r="B71" s="407"/>
    </row>
    <row r="72" spans="2:2" x14ac:dyDescent="0.2">
      <c r="B72" s="407"/>
    </row>
    <row r="73" spans="2:2" x14ac:dyDescent="0.2">
      <c r="B73" s="407"/>
    </row>
  </sheetData>
  <pageMargins left="1" right="0.75" top="0.75" bottom="0.5" header="0.5" footer="0.5"/>
  <pageSetup scale="79" orientation="portrait" r:id="rId1"/>
  <headerFooter>
    <oddFooter>&amp;L&amp;KFF0000Final Rate Application&amp;CPage &amp;P of &amp;N&amp;R02/10/2017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W55"/>
  <sheetViews>
    <sheetView showOutlineSymbols="0" zoomScaleNormal="100" workbookViewId="0">
      <pane xSplit="2" ySplit="7" topLeftCell="C8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defaultRowHeight="12.75" x14ac:dyDescent="0.2"/>
  <cols>
    <col min="1" max="1" width="37.5703125" style="28" customWidth="1" collapsed="1"/>
    <col min="2" max="2" width="10.140625" style="28" customWidth="1"/>
    <col min="3" max="7" width="18.28515625" style="28" customWidth="1"/>
    <col min="8" max="8" width="3" style="28" customWidth="1"/>
    <col min="9" max="11" width="12" style="28" customWidth="1"/>
    <col min="12" max="13" width="13.7109375" style="28" customWidth="1"/>
    <col min="14" max="14" width="3" style="28" customWidth="1"/>
    <col min="15" max="15" width="33.140625" style="28" bestFit="1" customWidth="1"/>
    <col min="16" max="16" width="8.140625" style="28" bestFit="1" customWidth="1"/>
    <col min="17" max="21" width="13.42578125" style="28" bestFit="1" customWidth="1"/>
    <col min="22" max="16384" width="9.140625" style="28"/>
  </cols>
  <sheetData>
    <row r="1" spans="1:23" x14ac:dyDescent="0.2">
      <c r="A1" s="112" t="str">
        <f>B!$A$2</f>
        <v>Recology San Francisco</v>
      </c>
    </row>
    <row r="2" spans="1:23" x14ac:dyDescent="0.2">
      <c r="A2" s="113" t="s">
        <v>96</v>
      </c>
      <c r="M2" s="116" t="s">
        <v>97</v>
      </c>
      <c r="U2" s="116" t="s">
        <v>97</v>
      </c>
    </row>
    <row r="3" spans="1:23" ht="12.75" customHeight="1" x14ac:dyDescent="0.2">
      <c r="A3" s="117" t="s">
        <v>10</v>
      </c>
      <c r="C3" s="29"/>
      <c r="D3" s="29"/>
      <c r="E3" s="29"/>
      <c r="F3" s="29"/>
      <c r="G3" s="29"/>
      <c r="H3" s="29"/>
      <c r="M3" s="118">
        <v>0.03</v>
      </c>
      <c r="U3" s="118">
        <v>0.03</v>
      </c>
    </row>
    <row r="4" spans="1:23" ht="12.75" customHeight="1" x14ac:dyDescent="0.2">
      <c r="A4" s="119"/>
      <c r="C4" s="120"/>
      <c r="D4" s="120"/>
      <c r="E4" s="120"/>
      <c r="G4" s="116" t="s">
        <v>97</v>
      </c>
      <c r="H4" s="116"/>
      <c r="I4" s="1491" t="s">
        <v>74</v>
      </c>
      <c r="J4" s="1492"/>
      <c r="K4" s="1492"/>
      <c r="L4" s="1492"/>
      <c r="M4" s="1493"/>
      <c r="N4" s="121"/>
      <c r="O4" s="1497" t="s">
        <v>75</v>
      </c>
      <c r="P4" s="1498"/>
      <c r="Q4" s="1498"/>
      <c r="R4" s="1498"/>
      <c r="S4" s="1498"/>
      <c r="T4" s="1498"/>
      <c r="U4" s="1499"/>
      <c r="V4" s="122"/>
      <c r="W4" s="122"/>
    </row>
    <row r="5" spans="1:23" s="29" customFormat="1" ht="12.75" customHeight="1" x14ac:dyDescent="0.2">
      <c r="A5" s="123"/>
      <c r="F5" s="124"/>
      <c r="G5" s="118">
        <v>0.03</v>
      </c>
      <c r="H5" s="118"/>
      <c r="I5" s="1494"/>
      <c r="J5" s="1495"/>
      <c r="K5" s="1495"/>
      <c r="L5" s="1495"/>
      <c r="M5" s="1496"/>
      <c r="N5" s="121"/>
      <c r="O5" s="1500"/>
      <c r="P5" s="1501"/>
      <c r="Q5" s="1502"/>
      <c r="R5" s="1502"/>
      <c r="S5" s="1502"/>
      <c r="T5" s="1502"/>
      <c r="U5" s="1503"/>
      <c r="V5" s="122"/>
      <c r="W5" s="122"/>
    </row>
    <row r="6" spans="1:23" ht="21" customHeight="1" x14ac:dyDescent="0.2">
      <c r="A6" s="125"/>
      <c r="B6" s="126"/>
      <c r="C6" s="1504" t="s">
        <v>98</v>
      </c>
      <c r="D6" s="1505"/>
      <c r="E6" s="1506"/>
      <c r="F6" s="127" t="s">
        <v>99</v>
      </c>
      <c r="G6" s="19" t="s">
        <v>69</v>
      </c>
      <c r="H6" s="126"/>
      <c r="I6" s="1504" t="s">
        <v>98</v>
      </c>
      <c r="J6" s="1505"/>
      <c r="K6" s="1506"/>
      <c r="L6" s="127" t="s">
        <v>99</v>
      </c>
      <c r="M6" s="19" t="s">
        <v>69</v>
      </c>
      <c r="O6" s="129"/>
      <c r="P6" s="102"/>
      <c r="Q6" s="1505" t="s">
        <v>98</v>
      </c>
      <c r="R6" s="1505"/>
      <c r="S6" s="1506"/>
      <c r="T6" s="127" t="s">
        <v>99</v>
      </c>
      <c r="U6" s="19" t="s">
        <v>69</v>
      </c>
    </row>
    <row r="7" spans="1:23" ht="30" customHeight="1" x14ac:dyDescent="0.2">
      <c r="A7" s="130" t="s">
        <v>100</v>
      </c>
      <c r="B7" s="131" t="s">
        <v>101</v>
      </c>
      <c r="C7" s="132" t="s">
        <v>102</v>
      </c>
      <c r="D7" s="132" t="s">
        <v>103</v>
      </c>
      <c r="E7" s="132" t="s">
        <v>104</v>
      </c>
      <c r="F7" s="133" t="s">
        <v>105</v>
      </c>
      <c r="G7" s="134" t="s">
        <v>105</v>
      </c>
      <c r="H7" s="135"/>
      <c r="I7" s="132" t="s">
        <v>102</v>
      </c>
      <c r="J7" s="132" t="s">
        <v>103</v>
      </c>
      <c r="K7" s="132" t="s">
        <v>104</v>
      </c>
      <c r="L7" s="133" t="s">
        <v>105</v>
      </c>
      <c r="M7" s="134" t="s">
        <v>105</v>
      </c>
      <c r="O7" s="136" t="s">
        <v>106</v>
      </c>
      <c r="P7" s="137" t="s">
        <v>101</v>
      </c>
      <c r="Q7" s="138" t="s">
        <v>102</v>
      </c>
      <c r="R7" s="132" t="s">
        <v>103</v>
      </c>
      <c r="S7" s="132" t="s">
        <v>104</v>
      </c>
      <c r="T7" s="133" t="s">
        <v>105</v>
      </c>
      <c r="U7" s="134" t="s">
        <v>105</v>
      </c>
    </row>
    <row r="8" spans="1:23" x14ac:dyDescent="0.2">
      <c r="A8" s="139"/>
      <c r="B8" s="140"/>
      <c r="C8" s="142"/>
      <c r="D8" s="142"/>
      <c r="E8" s="142"/>
      <c r="F8" s="140"/>
      <c r="G8" s="140"/>
      <c r="H8" s="143"/>
      <c r="I8" s="142"/>
      <c r="J8" s="142"/>
      <c r="K8" s="142"/>
      <c r="L8" s="140"/>
      <c r="M8" s="140"/>
      <c r="O8" s="139"/>
      <c r="P8" s="140"/>
      <c r="Q8" s="142"/>
      <c r="R8" s="142"/>
      <c r="S8" s="142"/>
      <c r="T8" s="140"/>
      <c r="U8" s="140"/>
    </row>
    <row r="9" spans="1:23" x14ac:dyDescent="0.2">
      <c r="A9" s="144" t="s">
        <v>107</v>
      </c>
      <c r="B9" s="145" t="s">
        <v>23</v>
      </c>
      <c r="C9" s="94">
        <v>34864212.939999998</v>
      </c>
      <c r="D9" s="94">
        <v>37352465.840000004</v>
      </c>
      <c r="E9" s="94">
        <v>39789488.030000001</v>
      </c>
      <c r="F9" s="94">
        <f>G.1!I20</f>
        <v>42709306.000000007</v>
      </c>
      <c r="G9" s="94">
        <f>G.1!K20</f>
        <v>45740820.909999989</v>
      </c>
      <c r="H9" s="146"/>
      <c r="I9" s="94">
        <f t="shared" ref="I9:I48" si="0">IFERROR(C9-Q9,"")</f>
        <v>0</v>
      </c>
      <c r="J9" s="94">
        <f t="shared" ref="J9:J48" si="1">IFERROR(D9-R9,"")</f>
        <v>0</v>
      </c>
      <c r="K9" s="94">
        <f t="shared" ref="K9:K48" si="2">IFERROR(E9-S9,"")</f>
        <v>0</v>
      </c>
      <c r="L9" s="94">
        <f t="shared" ref="L9:L48" si="3">IFERROR(F9-T9,"")</f>
        <v>0</v>
      </c>
      <c r="M9" s="94">
        <f t="shared" ref="M9:M48" si="4">IFERROR(G9-U9,"")</f>
        <v>185620.62999999523</v>
      </c>
      <c r="O9" s="144" t="s">
        <v>107</v>
      </c>
      <c r="P9" s="145" t="s">
        <v>23</v>
      </c>
      <c r="Q9" s="94">
        <v>34864212.939999998</v>
      </c>
      <c r="R9" s="94">
        <v>37352465.840000004</v>
      </c>
      <c r="S9" s="94">
        <v>39789488.030000001</v>
      </c>
      <c r="T9" s="94">
        <v>42709306.000000007</v>
      </c>
      <c r="U9" s="94">
        <v>45555200.279999994</v>
      </c>
    </row>
    <row r="10" spans="1:23" x14ac:dyDescent="0.2">
      <c r="A10" s="147" t="s">
        <v>108</v>
      </c>
      <c r="B10" s="145"/>
      <c r="C10" s="94">
        <v>2847327.96</v>
      </c>
      <c r="D10" s="94">
        <v>2983172.48</v>
      </c>
      <c r="E10" s="94">
        <v>3110875.66</v>
      </c>
      <c r="F10" s="148">
        <f>+F9*(E10/E9)</f>
        <v>3339156.8243028736</v>
      </c>
      <c r="G10" s="148">
        <f>+G9*E10/E9</f>
        <v>3576170.8300959514</v>
      </c>
      <c r="H10" s="149"/>
      <c r="I10" s="94">
        <f t="shared" si="0"/>
        <v>0</v>
      </c>
      <c r="J10" s="94">
        <f t="shared" si="1"/>
        <v>0</v>
      </c>
      <c r="K10" s="94">
        <f t="shared" si="2"/>
        <v>0</v>
      </c>
      <c r="L10" s="148">
        <f t="shared" si="3"/>
        <v>0</v>
      </c>
      <c r="M10" s="148">
        <f t="shared" si="4"/>
        <v>14512.44357367605</v>
      </c>
      <c r="O10" s="147" t="s">
        <v>108</v>
      </c>
      <c r="P10" s="145"/>
      <c r="Q10" s="94">
        <v>2847327.96</v>
      </c>
      <c r="R10" s="94">
        <v>2983172.48</v>
      </c>
      <c r="S10" s="94">
        <v>3110875.66</v>
      </c>
      <c r="T10" s="148">
        <v>3339156.8243028736</v>
      </c>
      <c r="U10" s="148">
        <v>3561658.3865222754</v>
      </c>
    </row>
    <row r="11" spans="1:23" x14ac:dyDescent="0.2">
      <c r="A11" s="144" t="s">
        <v>109</v>
      </c>
      <c r="B11" s="145" t="s">
        <v>25</v>
      </c>
      <c r="C11" s="94">
        <v>6506451.6545575</v>
      </c>
      <c r="D11" s="94">
        <v>7360405.6917977985</v>
      </c>
      <c r="E11" s="94">
        <v>5011356.7831111019</v>
      </c>
      <c r="F11" s="94">
        <f>+G.2!D13</f>
        <v>6142449.7716000006</v>
      </c>
      <c r="G11" s="94">
        <f>+G.2!E13</f>
        <v>6768046.8949130261</v>
      </c>
      <c r="H11" s="146"/>
      <c r="I11" s="94">
        <f t="shared" si="0"/>
        <v>0</v>
      </c>
      <c r="J11" s="94">
        <f t="shared" si="1"/>
        <v>0</v>
      </c>
      <c r="K11" s="94">
        <f t="shared" si="2"/>
        <v>0</v>
      </c>
      <c r="L11" s="94">
        <f t="shared" si="3"/>
        <v>-66237.181333333254</v>
      </c>
      <c r="M11" s="94">
        <f t="shared" si="4"/>
        <v>-1296747.7851980859</v>
      </c>
      <c r="O11" s="144" t="s">
        <v>109</v>
      </c>
      <c r="P11" s="145" t="s">
        <v>25</v>
      </c>
      <c r="Q11" s="94">
        <v>6506451.6545575</v>
      </c>
      <c r="R11" s="94">
        <v>7360405.6917977985</v>
      </c>
      <c r="S11" s="94">
        <v>5011356.7831111019</v>
      </c>
      <c r="T11" s="94">
        <v>6208686.9529333338</v>
      </c>
      <c r="U11" s="94">
        <v>8064794.6801111121</v>
      </c>
    </row>
    <row r="12" spans="1:23" x14ac:dyDescent="0.2">
      <c r="A12" s="147" t="s">
        <v>110</v>
      </c>
      <c r="B12" s="145" t="s">
        <v>27</v>
      </c>
      <c r="C12" s="94">
        <v>10496668.439999999</v>
      </c>
      <c r="D12" s="94">
        <v>10973970.059999999</v>
      </c>
      <c r="E12" s="94">
        <v>11834831.58</v>
      </c>
      <c r="F12" s="94">
        <f>G.3!D16</f>
        <v>13863790.103986854</v>
      </c>
      <c r="G12" s="94">
        <f>+G.3!E16</f>
        <v>14852924.697809972</v>
      </c>
      <c r="H12" s="146"/>
      <c r="I12" s="94">
        <f t="shared" si="0"/>
        <v>0</v>
      </c>
      <c r="J12" s="94">
        <f t="shared" si="1"/>
        <v>0</v>
      </c>
      <c r="K12" s="94">
        <f t="shared" si="2"/>
        <v>0</v>
      </c>
      <c r="L12" s="94">
        <f t="shared" si="3"/>
        <v>-34198.312194310129</v>
      </c>
      <c r="M12" s="94">
        <f t="shared" si="4"/>
        <v>109120.98067913949</v>
      </c>
      <c r="O12" s="147" t="s">
        <v>110</v>
      </c>
      <c r="P12" s="145" t="s">
        <v>27</v>
      </c>
      <c r="Q12" s="94">
        <v>10496668.439999999</v>
      </c>
      <c r="R12" s="94">
        <v>10973970.059999999</v>
      </c>
      <c r="S12" s="94">
        <v>11834831.58</v>
      </c>
      <c r="T12" s="94">
        <v>13897988.416181164</v>
      </c>
      <c r="U12" s="94">
        <v>14743803.717130832</v>
      </c>
    </row>
    <row r="13" spans="1:23" x14ac:dyDescent="0.2">
      <c r="A13" s="150" t="s">
        <v>111</v>
      </c>
      <c r="B13" s="145" t="s">
        <v>29</v>
      </c>
      <c r="C13" s="94">
        <v>3077675.55</v>
      </c>
      <c r="D13" s="94">
        <v>3154419.12</v>
      </c>
      <c r="E13" s="94">
        <v>3784382.21</v>
      </c>
      <c r="F13" s="94">
        <f>+G.4!E9</f>
        <v>2856122.7567816181</v>
      </c>
      <c r="G13" s="94">
        <f>+G.4!F9</f>
        <v>3643644.8655767716</v>
      </c>
      <c r="H13" s="146"/>
      <c r="I13" s="94">
        <f t="shared" si="0"/>
        <v>0</v>
      </c>
      <c r="J13" s="94">
        <f t="shared" si="1"/>
        <v>0</v>
      </c>
      <c r="K13" s="94">
        <f t="shared" si="2"/>
        <v>0</v>
      </c>
      <c r="L13" s="94">
        <f t="shared" si="3"/>
        <v>0</v>
      </c>
      <c r="M13" s="94">
        <f t="shared" si="4"/>
        <v>0</v>
      </c>
      <c r="O13" s="150" t="s">
        <v>111</v>
      </c>
      <c r="P13" s="145" t="s">
        <v>29</v>
      </c>
      <c r="Q13" s="94">
        <v>3077675.55</v>
      </c>
      <c r="R13" s="94">
        <v>3154419.12</v>
      </c>
      <c r="S13" s="94">
        <v>3784382.21</v>
      </c>
      <c r="T13" s="94">
        <v>2856122.7567816181</v>
      </c>
      <c r="U13" s="94">
        <v>3643644.8655767716</v>
      </c>
    </row>
    <row r="14" spans="1:23" ht="15.75" customHeight="1" x14ac:dyDescent="0.2">
      <c r="A14" s="151" t="s">
        <v>112</v>
      </c>
      <c r="B14" s="152"/>
      <c r="C14" s="153">
        <f t="shared" ref="C14:E14" si="5">SUM(C9:C13)</f>
        <v>57792336.544557497</v>
      </c>
      <c r="D14" s="153">
        <f t="shared" si="5"/>
        <v>61824433.1917978</v>
      </c>
      <c r="E14" s="153">
        <f t="shared" si="5"/>
        <v>63530934.2631111</v>
      </c>
      <c r="F14" s="153">
        <f>SUM(F9:F13)</f>
        <v>68910825.456671357</v>
      </c>
      <c r="G14" s="153">
        <f>SUM(G9:G13)</f>
        <v>74581608.198395714</v>
      </c>
      <c r="H14" s="154"/>
      <c r="I14" s="153">
        <f t="shared" si="0"/>
        <v>0</v>
      </c>
      <c r="J14" s="153">
        <f t="shared" si="1"/>
        <v>0</v>
      </c>
      <c r="K14" s="153">
        <f t="shared" si="2"/>
        <v>0</v>
      </c>
      <c r="L14" s="153">
        <f t="shared" si="3"/>
        <v>-100435.49352763593</v>
      </c>
      <c r="M14" s="153">
        <f t="shared" si="4"/>
        <v>-987493.73094527423</v>
      </c>
      <c r="O14" s="155" t="s">
        <v>112</v>
      </c>
      <c r="P14" s="152"/>
      <c r="Q14" s="153">
        <v>57792336.544557497</v>
      </c>
      <c r="R14" s="153">
        <v>61824433.1917978</v>
      </c>
      <c r="S14" s="153">
        <v>63530934.2631111</v>
      </c>
      <c r="T14" s="153">
        <v>69011260.950198993</v>
      </c>
      <c r="U14" s="153">
        <v>75569101.929340988</v>
      </c>
    </row>
    <row r="15" spans="1:23" x14ac:dyDescent="0.2">
      <c r="A15" s="147" t="s">
        <v>113</v>
      </c>
      <c r="B15" s="156"/>
      <c r="C15" s="142">
        <v>10770.82</v>
      </c>
      <c r="D15" s="142">
        <v>7274.91</v>
      </c>
      <c r="E15" s="142">
        <v>68663.58</v>
      </c>
      <c r="F15" s="142">
        <v>128772.84</v>
      </c>
      <c r="G15" s="157">
        <f>AVERAGE(C15:F15)</f>
        <v>53870.537499999999</v>
      </c>
      <c r="H15" s="149"/>
      <c r="I15" s="142">
        <f t="shared" si="0"/>
        <v>0</v>
      </c>
      <c r="J15" s="142">
        <f t="shared" si="1"/>
        <v>0</v>
      </c>
      <c r="K15" s="142">
        <f t="shared" si="2"/>
        <v>0</v>
      </c>
      <c r="L15" s="142">
        <f t="shared" si="3"/>
        <v>105652.978</v>
      </c>
      <c r="M15" s="157">
        <f t="shared" si="4"/>
        <v>30057.079639999996</v>
      </c>
      <c r="O15" s="147" t="s">
        <v>113</v>
      </c>
      <c r="P15" s="156"/>
      <c r="Q15" s="142">
        <v>10770.82</v>
      </c>
      <c r="R15" s="142">
        <v>7274.91</v>
      </c>
      <c r="S15" s="142">
        <v>68663.58</v>
      </c>
      <c r="T15" s="142">
        <v>23119.862000000001</v>
      </c>
      <c r="U15" s="157">
        <v>23813.457860000002</v>
      </c>
    </row>
    <row r="16" spans="1:23" x14ac:dyDescent="0.2">
      <c r="A16" s="147" t="s">
        <v>114</v>
      </c>
      <c r="B16" s="145" t="s">
        <v>55</v>
      </c>
      <c r="C16" s="94">
        <v>836088.08999999985</v>
      </c>
      <c r="D16" s="94">
        <v>883745.96</v>
      </c>
      <c r="E16" s="94">
        <v>1044466.19</v>
      </c>
      <c r="F16" s="148">
        <f>+L.4!E31</f>
        <v>1304814.6618390791</v>
      </c>
      <c r="G16" s="148">
        <f>+L.4!F31</f>
        <v>1267606.789537092</v>
      </c>
      <c r="H16" s="149"/>
      <c r="I16" s="94">
        <f t="shared" si="0"/>
        <v>0</v>
      </c>
      <c r="J16" s="94">
        <f t="shared" si="1"/>
        <v>0</v>
      </c>
      <c r="K16" s="94">
        <f t="shared" si="2"/>
        <v>0</v>
      </c>
      <c r="L16" s="148">
        <f t="shared" si="3"/>
        <v>10199.528826365247</v>
      </c>
      <c r="M16" s="148">
        <f t="shared" si="4"/>
        <v>-2127.6663991687819</v>
      </c>
      <c r="O16" s="147" t="s">
        <v>114</v>
      </c>
      <c r="P16" s="145" t="s">
        <v>55</v>
      </c>
      <c r="Q16" s="94">
        <v>836088.08999999985</v>
      </c>
      <c r="R16" s="94">
        <v>883745.96</v>
      </c>
      <c r="S16" s="94">
        <v>1044466.19</v>
      </c>
      <c r="T16" s="148">
        <v>1294615.1330127139</v>
      </c>
      <c r="U16" s="148">
        <v>1269734.4559362608</v>
      </c>
    </row>
    <row r="17" spans="1:21" x14ac:dyDescent="0.2">
      <c r="A17" s="147" t="s">
        <v>115</v>
      </c>
      <c r="B17" s="145"/>
      <c r="C17" s="94">
        <v>826705.44</v>
      </c>
      <c r="D17" s="94">
        <v>575489.72</v>
      </c>
      <c r="E17" s="94">
        <v>678929.13</v>
      </c>
      <c r="F17" s="148">
        <v>704910.17</v>
      </c>
      <c r="G17" s="148">
        <f>+F17*(1+$G$5)</f>
        <v>726057.47510000004</v>
      </c>
      <c r="H17" s="149"/>
      <c r="I17" s="94">
        <f t="shared" si="0"/>
        <v>0</v>
      </c>
      <c r="J17" s="94">
        <f t="shared" si="1"/>
        <v>0</v>
      </c>
      <c r="K17" s="94">
        <f t="shared" si="2"/>
        <v>0</v>
      </c>
      <c r="L17" s="148">
        <f t="shared" si="3"/>
        <v>-29841.459999999963</v>
      </c>
      <c r="M17" s="148">
        <f t="shared" si="4"/>
        <v>-30736.703800000018</v>
      </c>
      <c r="O17" s="147" t="s">
        <v>115</v>
      </c>
      <c r="P17" s="145"/>
      <c r="Q17" s="94">
        <v>826705.44</v>
      </c>
      <c r="R17" s="94">
        <v>575489.72</v>
      </c>
      <c r="S17" s="94">
        <v>678929.13</v>
      </c>
      <c r="T17" s="148">
        <v>734751.63</v>
      </c>
      <c r="U17" s="148">
        <v>756794.17890000006</v>
      </c>
    </row>
    <row r="18" spans="1:21" x14ac:dyDescent="0.2">
      <c r="A18" s="147" t="s">
        <v>116</v>
      </c>
      <c r="B18" s="145" t="s">
        <v>57</v>
      </c>
      <c r="C18" s="94">
        <v>634477.39</v>
      </c>
      <c r="D18" s="94">
        <v>572341.58000000007</v>
      </c>
      <c r="E18" s="94">
        <v>318509.75</v>
      </c>
      <c r="F18" s="148">
        <f>+L.5!E19</f>
        <v>323313</v>
      </c>
      <c r="G18" s="148">
        <f>+L.5!F19</f>
        <v>333012.39</v>
      </c>
      <c r="H18" s="149"/>
      <c r="I18" s="94">
        <f t="shared" si="0"/>
        <v>0</v>
      </c>
      <c r="J18" s="94">
        <f t="shared" si="1"/>
        <v>0</v>
      </c>
      <c r="K18" s="94">
        <f t="shared" si="2"/>
        <v>0</v>
      </c>
      <c r="L18" s="148">
        <f t="shared" si="3"/>
        <v>41001</v>
      </c>
      <c r="M18" s="148">
        <f t="shared" si="4"/>
        <v>42231.030000000028</v>
      </c>
      <c r="O18" s="147" t="s">
        <v>116</v>
      </c>
      <c r="P18" s="145" t="s">
        <v>57</v>
      </c>
      <c r="Q18" s="94">
        <v>634477.39</v>
      </c>
      <c r="R18" s="94">
        <v>572341.58000000007</v>
      </c>
      <c r="S18" s="94">
        <v>318509.75</v>
      </c>
      <c r="T18" s="148">
        <v>282312</v>
      </c>
      <c r="U18" s="148">
        <v>290781.36</v>
      </c>
    </row>
    <row r="19" spans="1:21" x14ac:dyDescent="0.2">
      <c r="A19" s="147" t="s">
        <v>117</v>
      </c>
      <c r="B19" s="158" t="s">
        <v>63</v>
      </c>
      <c r="C19" s="94">
        <v>149572.90817929973</v>
      </c>
      <c r="D19" s="94">
        <v>92239.955912236328</v>
      </c>
      <c r="E19" s="94">
        <v>123376.60113423226</v>
      </c>
      <c r="F19" s="148">
        <f>+M.2!E12</f>
        <v>127448.0289716619</v>
      </c>
      <c r="G19" s="148">
        <f>+M.2!F12</f>
        <v>131653.81392772673</v>
      </c>
      <c r="H19" s="149"/>
      <c r="I19" s="94">
        <f t="shared" si="0"/>
        <v>0</v>
      </c>
      <c r="J19" s="94">
        <f t="shared" si="1"/>
        <v>0</v>
      </c>
      <c r="K19" s="94">
        <f t="shared" si="2"/>
        <v>0</v>
      </c>
      <c r="L19" s="148">
        <f t="shared" si="3"/>
        <v>246.75320226846088</v>
      </c>
      <c r="M19" s="148">
        <f t="shared" si="4"/>
        <v>509.29860948209534</v>
      </c>
      <c r="O19" s="147" t="s">
        <v>117</v>
      </c>
      <c r="P19" s="158" t="s">
        <v>63</v>
      </c>
      <c r="Q19" s="94">
        <v>149572.90817929973</v>
      </c>
      <c r="R19" s="94">
        <v>92239.955912236328</v>
      </c>
      <c r="S19" s="94">
        <v>123376.60113423226</v>
      </c>
      <c r="T19" s="148">
        <v>127201.27576939344</v>
      </c>
      <c r="U19" s="148">
        <v>131144.51531824464</v>
      </c>
    </row>
    <row r="20" spans="1:21" x14ac:dyDescent="0.2">
      <c r="A20" s="147" t="s">
        <v>118</v>
      </c>
      <c r="B20" s="158" t="s">
        <v>63</v>
      </c>
      <c r="C20" s="94">
        <v>106830.84412057322</v>
      </c>
      <c r="D20" s="94">
        <v>91225.662647229401</v>
      </c>
      <c r="E20" s="94">
        <v>126560.92305013406</v>
      </c>
      <c r="F20" s="94">
        <f>+M.2!E9</f>
        <v>130737.43351078848</v>
      </c>
      <c r="G20" s="94">
        <f>+M.2!F9</f>
        <v>135051.7688166445</v>
      </c>
      <c r="H20" s="146"/>
      <c r="I20" s="94">
        <f t="shared" si="0"/>
        <v>0</v>
      </c>
      <c r="J20" s="94">
        <f t="shared" si="1"/>
        <v>0</v>
      </c>
      <c r="K20" s="94">
        <f t="shared" si="2"/>
        <v>0</v>
      </c>
      <c r="L20" s="94">
        <f t="shared" si="3"/>
        <v>253.1218461002718</v>
      </c>
      <c r="M20" s="94">
        <f t="shared" si="4"/>
        <v>522.4434903509682</v>
      </c>
      <c r="O20" s="147" t="s">
        <v>118</v>
      </c>
      <c r="P20" s="158" t="s">
        <v>63</v>
      </c>
      <c r="Q20" s="94">
        <v>106830.84412057322</v>
      </c>
      <c r="R20" s="94">
        <v>91225.662647229401</v>
      </c>
      <c r="S20" s="94">
        <v>126560.92305013406</v>
      </c>
      <c r="T20" s="94">
        <v>130484.31166468821</v>
      </c>
      <c r="U20" s="94">
        <v>134529.32532629353</v>
      </c>
    </row>
    <row r="21" spans="1:21" x14ac:dyDescent="0.2">
      <c r="A21" s="147" t="s">
        <v>119</v>
      </c>
      <c r="B21" s="145" t="s">
        <v>31</v>
      </c>
      <c r="C21" s="94">
        <v>1514395.7000000002</v>
      </c>
      <c r="D21" s="94">
        <v>1313693.18</v>
      </c>
      <c r="E21" s="94">
        <v>1245077.3199999998</v>
      </c>
      <c r="F21" s="94">
        <f>H.3!$E$33</f>
        <v>1727597.8025</v>
      </c>
      <c r="G21" s="148">
        <f>+H.3!F33</f>
        <v>2403888.7549999999</v>
      </c>
      <c r="H21" s="149"/>
      <c r="I21" s="94">
        <f t="shared" si="0"/>
        <v>0</v>
      </c>
      <c r="J21" s="94">
        <f t="shared" si="1"/>
        <v>0</v>
      </c>
      <c r="K21" s="94">
        <f t="shared" si="2"/>
        <v>0</v>
      </c>
      <c r="L21" s="94">
        <f t="shared" si="3"/>
        <v>158750</v>
      </c>
      <c r="M21" s="148">
        <f t="shared" si="4"/>
        <v>317500</v>
      </c>
      <c r="O21" s="147" t="s">
        <v>119</v>
      </c>
      <c r="P21" s="145" t="s">
        <v>31</v>
      </c>
      <c r="Q21" s="94">
        <v>1514395.7000000002</v>
      </c>
      <c r="R21" s="94">
        <v>1313693.18</v>
      </c>
      <c r="S21" s="94">
        <v>1245077.3199999998</v>
      </c>
      <c r="T21" s="94">
        <v>1568847.8025</v>
      </c>
      <c r="U21" s="148">
        <v>2086388.7549999999</v>
      </c>
    </row>
    <row r="22" spans="1:21" x14ac:dyDescent="0.2">
      <c r="A22" s="147" t="s">
        <v>120</v>
      </c>
      <c r="B22" s="158" t="s">
        <v>63</v>
      </c>
      <c r="C22" s="94">
        <v>37895.395625876845</v>
      </c>
      <c r="D22" s="94">
        <v>30500.882648204875</v>
      </c>
      <c r="E22" s="94">
        <v>40653.553481865354</v>
      </c>
      <c r="F22" s="148">
        <f>+M.2!E13</f>
        <v>41995.120746766908</v>
      </c>
      <c r="G22" s="148">
        <f>+M.2!F13</f>
        <v>43380.959731410214</v>
      </c>
      <c r="H22" s="149"/>
      <c r="I22" s="94">
        <f t="shared" si="0"/>
        <v>0</v>
      </c>
      <c r="J22" s="94">
        <f t="shared" si="1"/>
        <v>0</v>
      </c>
      <c r="K22" s="94">
        <f t="shared" si="2"/>
        <v>0</v>
      </c>
      <c r="L22" s="148">
        <f t="shared" si="3"/>
        <v>81.307106963729893</v>
      </c>
      <c r="M22" s="148">
        <f t="shared" si="4"/>
        <v>167.81786877314153</v>
      </c>
      <c r="O22" s="147" t="s">
        <v>120</v>
      </c>
      <c r="P22" s="158" t="s">
        <v>63</v>
      </c>
      <c r="Q22" s="94">
        <v>37895.395625876845</v>
      </c>
      <c r="R22" s="94">
        <v>30500.882648204875</v>
      </c>
      <c r="S22" s="94">
        <v>40653.553481865354</v>
      </c>
      <c r="T22" s="148">
        <v>41913.813639803178</v>
      </c>
      <c r="U22" s="148">
        <v>43213.141862637072</v>
      </c>
    </row>
    <row r="23" spans="1:21" x14ac:dyDescent="0.2">
      <c r="A23" s="147" t="s">
        <v>121</v>
      </c>
      <c r="B23" s="145" t="s">
        <v>49</v>
      </c>
      <c r="C23" s="94">
        <v>1084049.04</v>
      </c>
      <c r="D23" s="94">
        <v>1066284.6499999999</v>
      </c>
      <c r="E23" s="94">
        <v>1513093.4000000001</v>
      </c>
      <c r="F23" s="148">
        <f>+L.1!E16</f>
        <v>1626012</v>
      </c>
      <c r="G23" s="148">
        <f>+L.1!F16</f>
        <v>1711879.9652340214</v>
      </c>
      <c r="H23" s="149"/>
      <c r="I23" s="94">
        <f t="shared" si="0"/>
        <v>0</v>
      </c>
      <c r="J23" s="94">
        <f t="shared" si="1"/>
        <v>0</v>
      </c>
      <c r="K23" s="94">
        <f t="shared" si="2"/>
        <v>0</v>
      </c>
      <c r="L23" s="148">
        <f t="shared" si="3"/>
        <v>0</v>
      </c>
      <c r="M23" s="148">
        <f t="shared" si="4"/>
        <v>0</v>
      </c>
      <c r="O23" s="147" t="s">
        <v>121</v>
      </c>
      <c r="P23" s="145" t="s">
        <v>49</v>
      </c>
      <c r="Q23" s="94">
        <v>1084049.04</v>
      </c>
      <c r="R23" s="94">
        <v>1066284.6499999999</v>
      </c>
      <c r="S23" s="94">
        <v>1513093.4000000001</v>
      </c>
      <c r="T23" s="148">
        <v>1626012</v>
      </c>
      <c r="U23" s="148">
        <v>1711879.9652340214</v>
      </c>
    </row>
    <row r="24" spans="1:21" x14ac:dyDescent="0.2">
      <c r="A24" s="147" t="s">
        <v>122</v>
      </c>
      <c r="B24" s="158" t="s">
        <v>53</v>
      </c>
      <c r="C24" s="94">
        <v>4077050.77</v>
      </c>
      <c r="D24" s="94">
        <v>3635141.1999999997</v>
      </c>
      <c r="E24" s="94">
        <v>2786691.96</v>
      </c>
      <c r="F24" s="148">
        <f>+L.3!E105</f>
        <v>3224920.366624054</v>
      </c>
      <c r="G24" s="148">
        <f>+L.3!F105</f>
        <v>3360522.9891981403</v>
      </c>
      <c r="H24" s="149"/>
      <c r="I24" s="94">
        <f t="shared" si="0"/>
        <v>0</v>
      </c>
      <c r="J24" s="94">
        <f t="shared" si="1"/>
        <v>0</v>
      </c>
      <c r="K24" s="94">
        <f t="shared" si="2"/>
        <v>0</v>
      </c>
      <c r="L24" s="148">
        <f t="shared" si="3"/>
        <v>118277.76225079503</v>
      </c>
      <c r="M24" s="148">
        <f t="shared" si="4"/>
        <v>39896.887157740071</v>
      </c>
      <c r="O24" s="147" t="s">
        <v>122</v>
      </c>
      <c r="P24" s="158" t="s">
        <v>53</v>
      </c>
      <c r="Q24" s="94">
        <v>4077050.77</v>
      </c>
      <c r="R24" s="94">
        <v>3635141.1999999997</v>
      </c>
      <c r="S24" s="94">
        <v>2786691.96</v>
      </c>
      <c r="T24" s="148">
        <v>3106642.604373259</v>
      </c>
      <c r="U24" s="148">
        <v>3320626.1020404003</v>
      </c>
    </row>
    <row r="25" spans="1:21" x14ac:dyDescent="0.2">
      <c r="A25" s="147" t="s">
        <v>123</v>
      </c>
      <c r="B25" s="158" t="s">
        <v>63</v>
      </c>
      <c r="C25" s="94">
        <v>537583.20843731868</v>
      </c>
      <c r="D25" s="94">
        <v>551764.30041959579</v>
      </c>
      <c r="E25" s="94">
        <v>472856.49844907923</v>
      </c>
      <c r="F25" s="94">
        <f>+M.2!E11</f>
        <v>487337.52139143203</v>
      </c>
      <c r="G25" s="94">
        <f>+M.2!F11</f>
        <v>503419.65959734924</v>
      </c>
      <c r="H25" s="146"/>
      <c r="I25" s="94">
        <f t="shared" si="0"/>
        <v>0</v>
      </c>
      <c r="J25" s="94">
        <f t="shared" si="1"/>
        <v>0</v>
      </c>
      <c r="K25" s="94">
        <f t="shared" si="2"/>
        <v>0</v>
      </c>
      <c r="L25" s="94">
        <f t="shared" si="3"/>
        <v>943.5382795574842</v>
      </c>
      <c r="M25" s="94">
        <f t="shared" si="4"/>
        <v>1947.4630090066348</v>
      </c>
      <c r="O25" s="147" t="s">
        <v>123</v>
      </c>
      <c r="P25" s="158" t="s">
        <v>63</v>
      </c>
      <c r="Q25" s="94">
        <v>537583.20843731868</v>
      </c>
      <c r="R25" s="94">
        <v>551764.30041959579</v>
      </c>
      <c r="S25" s="94">
        <v>472856.49844907923</v>
      </c>
      <c r="T25" s="94">
        <v>486393.98311187455</v>
      </c>
      <c r="U25" s="94">
        <v>501472.1965883426</v>
      </c>
    </row>
    <row r="26" spans="1:21" x14ac:dyDescent="0.2">
      <c r="A26" s="159" t="s">
        <v>124</v>
      </c>
      <c r="B26" s="158" t="s">
        <v>39</v>
      </c>
      <c r="C26" s="148">
        <v>9097350.4999999981</v>
      </c>
      <c r="D26" s="148">
        <v>9904619.2399999984</v>
      </c>
      <c r="E26" s="94">
        <v>18368115.259999998</v>
      </c>
      <c r="F26" s="148">
        <f>+J.1!F38</f>
        <v>27376362.930444308</v>
      </c>
      <c r="G26" s="148">
        <f>+J.1!H38</f>
        <v>27120784.596822143</v>
      </c>
      <c r="H26" s="149"/>
      <c r="I26" s="148">
        <f t="shared" si="0"/>
        <v>0</v>
      </c>
      <c r="J26" s="148">
        <f t="shared" si="1"/>
        <v>0</v>
      </c>
      <c r="K26" s="94">
        <f t="shared" si="2"/>
        <v>0</v>
      </c>
      <c r="L26" s="148">
        <f t="shared" si="3"/>
        <v>122624.47531230748</v>
      </c>
      <c r="M26" s="148">
        <f t="shared" si="4"/>
        <v>-196042.25940701738</v>
      </c>
      <c r="O26" s="159" t="s">
        <v>124</v>
      </c>
      <c r="P26" s="158" t="s">
        <v>39</v>
      </c>
      <c r="Q26" s="148">
        <v>9097350.4999999981</v>
      </c>
      <c r="R26" s="148">
        <v>9904619.2399999984</v>
      </c>
      <c r="S26" s="94">
        <v>18368115.259999998</v>
      </c>
      <c r="T26" s="148">
        <v>27253738.455132</v>
      </c>
      <c r="U26" s="148">
        <v>27316826.85622916</v>
      </c>
    </row>
    <row r="27" spans="1:21" x14ac:dyDescent="0.2">
      <c r="A27" s="147" t="s">
        <v>125</v>
      </c>
      <c r="B27" s="158" t="s">
        <v>63</v>
      </c>
      <c r="C27" s="148">
        <v>659165.38703208219</v>
      </c>
      <c r="D27" s="148">
        <v>819569.81604514201</v>
      </c>
      <c r="E27" s="94">
        <v>710550.37272742402</v>
      </c>
      <c r="F27" s="148">
        <f>+M.2!E14</f>
        <v>733998.535027429</v>
      </c>
      <c r="G27" s="148">
        <f>+M.2!F14</f>
        <v>758220.48668333411</v>
      </c>
      <c r="H27" s="149"/>
      <c r="I27" s="148">
        <f t="shared" si="0"/>
        <v>0</v>
      </c>
      <c r="J27" s="148">
        <f t="shared" si="1"/>
        <v>0</v>
      </c>
      <c r="K27" s="94">
        <f t="shared" si="2"/>
        <v>0</v>
      </c>
      <c r="L27" s="148">
        <f t="shared" si="3"/>
        <v>1421.1007454548962</v>
      </c>
      <c r="M27" s="148">
        <f t="shared" si="4"/>
        <v>2933.1519386188593</v>
      </c>
      <c r="O27" s="147" t="s">
        <v>125</v>
      </c>
      <c r="P27" s="158" t="s">
        <v>63</v>
      </c>
      <c r="Q27" s="148">
        <v>659165.38703208219</v>
      </c>
      <c r="R27" s="148">
        <v>819569.81604514201</v>
      </c>
      <c r="S27" s="94">
        <v>710550.37272742402</v>
      </c>
      <c r="T27" s="148">
        <v>732577.4342819741</v>
      </c>
      <c r="U27" s="148">
        <v>755287.33474471525</v>
      </c>
    </row>
    <row r="28" spans="1:21" x14ac:dyDescent="0.2">
      <c r="A28" s="147" t="s">
        <v>126</v>
      </c>
      <c r="B28" s="145" t="s">
        <v>31</v>
      </c>
      <c r="C28" s="148">
        <v>5074374.0999999996</v>
      </c>
      <c r="D28" s="148">
        <v>5054937.51</v>
      </c>
      <c r="E28" s="94">
        <v>4927482.95</v>
      </c>
      <c r="F28" s="148">
        <f>+H.1!E18</f>
        <v>5414767.7661096742</v>
      </c>
      <c r="G28" s="148">
        <f>+H.1!F18</f>
        <v>5296449.1070154663</v>
      </c>
      <c r="H28" s="149"/>
      <c r="I28" s="148">
        <f t="shared" si="0"/>
        <v>0</v>
      </c>
      <c r="J28" s="148">
        <f t="shared" si="1"/>
        <v>0</v>
      </c>
      <c r="K28" s="94">
        <f t="shared" si="2"/>
        <v>0</v>
      </c>
      <c r="L28" s="148">
        <f t="shared" si="3"/>
        <v>0</v>
      </c>
      <c r="M28" s="148">
        <f t="shared" si="4"/>
        <v>-72002.68817795068</v>
      </c>
      <c r="O28" s="147" t="s">
        <v>126</v>
      </c>
      <c r="P28" s="145" t="s">
        <v>31</v>
      </c>
      <c r="Q28" s="148">
        <v>5074374.0999999996</v>
      </c>
      <c r="R28" s="148">
        <v>5054937.51</v>
      </c>
      <c r="S28" s="94">
        <v>4927482.95</v>
      </c>
      <c r="T28" s="148">
        <v>5414767.7661096742</v>
      </c>
      <c r="U28" s="148">
        <v>5368451.795193417</v>
      </c>
    </row>
    <row r="29" spans="1:21" x14ac:dyDescent="0.2">
      <c r="A29" s="147" t="s">
        <v>127</v>
      </c>
      <c r="B29" s="145" t="s">
        <v>37</v>
      </c>
      <c r="C29" s="148">
        <v>857868.41999999993</v>
      </c>
      <c r="D29" s="148">
        <v>768419.58</v>
      </c>
      <c r="E29" s="94">
        <v>808639.88000000012</v>
      </c>
      <c r="F29" s="148">
        <f>+I!E8</f>
        <v>828994.33637090877</v>
      </c>
      <c r="G29" s="148">
        <f>+I!F8</f>
        <v>879812.08099893364</v>
      </c>
      <c r="H29" s="149"/>
      <c r="I29" s="148">
        <f t="shared" si="0"/>
        <v>0</v>
      </c>
      <c r="J29" s="148">
        <f t="shared" si="1"/>
        <v>0</v>
      </c>
      <c r="K29" s="94">
        <f t="shared" si="2"/>
        <v>0</v>
      </c>
      <c r="L29" s="148">
        <f t="shared" si="3"/>
        <v>0</v>
      </c>
      <c r="M29" s="148">
        <f t="shared" si="4"/>
        <v>0</v>
      </c>
      <c r="O29" s="147" t="s">
        <v>127</v>
      </c>
      <c r="P29" s="145" t="s">
        <v>37</v>
      </c>
      <c r="Q29" s="148">
        <v>857868.41999999993</v>
      </c>
      <c r="R29" s="148">
        <v>768419.58</v>
      </c>
      <c r="S29" s="94">
        <v>808639.88000000012</v>
      </c>
      <c r="T29" s="148">
        <v>828994.33637090877</v>
      </c>
      <c r="U29" s="148">
        <v>879812.08099893364</v>
      </c>
    </row>
    <row r="30" spans="1:21" x14ac:dyDescent="0.2">
      <c r="A30" s="147" t="s">
        <v>128</v>
      </c>
      <c r="B30" s="145" t="s">
        <v>51</v>
      </c>
      <c r="C30" s="148">
        <v>2386855.02</v>
      </c>
      <c r="D30" s="148">
        <v>2422537.71</v>
      </c>
      <c r="E30" s="94">
        <v>2453896.71</v>
      </c>
      <c r="F30" s="148">
        <f>+L.2!E21</f>
        <v>2515248</v>
      </c>
      <c r="G30" s="148">
        <f>+L.2!F21</f>
        <v>3406888.7733333334</v>
      </c>
      <c r="H30" s="149"/>
      <c r="I30" s="148">
        <f t="shared" si="0"/>
        <v>0</v>
      </c>
      <c r="J30" s="148">
        <f t="shared" si="1"/>
        <v>0</v>
      </c>
      <c r="K30" s="94">
        <f t="shared" si="2"/>
        <v>0</v>
      </c>
      <c r="L30" s="148">
        <f t="shared" si="3"/>
        <v>0</v>
      </c>
      <c r="M30" s="148">
        <f t="shared" si="4"/>
        <v>0</v>
      </c>
      <c r="O30" s="147" t="s">
        <v>128</v>
      </c>
      <c r="P30" s="145" t="s">
        <v>51</v>
      </c>
      <c r="Q30" s="148">
        <v>2386855.02</v>
      </c>
      <c r="R30" s="148">
        <v>2422537.71</v>
      </c>
      <c r="S30" s="94">
        <v>2453896.71</v>
      </c>
      <c r="T30" s="148">
        <v>2515248</v>
      </c>
      <c r="U30" s="148">
        <v>3406888.7733333334</v>
      </c>
    </row>
    <row r="31" spans="1:21" x14ac:dyDescent="0.2">
      <c r="A31" s="147" t="s">
        <v>129</v>
      </c>
      <c r="B31" s="158" t="s">
        <v>130</v>
      </c>
      <c r="C31" s="148">
        <v>5914076.6799999997</v>
      </c>
      <c r="D31" s="148">
        <v>6224576.2400000012</v>
      </c>
      <c r="E31" s="94">
        <v>3830327.42</v>
      </c>
      <c r="F31" s="148">
        <f>J.3!E18</f>
        <v>1309376</v>
      </c>
      <c r="G31" s="148">
        <f>J.3!F18</f>
        <v>1389692.28</v>
      </c>
      <c r="H31" s="149"/>
      <c r="I31" s="148">
        <f t="shared" si="0"/>
        <v>0</v>
      </c>
      <c r="J31" s="148">
        <f t="shared" si="1"/>
        <v>0</v>
      </c>
      <c r="K31" s="94">
        <f t="shared" si="2"/>
        <v>0</v>
      </c>
      <c r="L31" s="148">
        <f t="shared" si="3"/>
        <v>-84500</v>
      </c>
      <c r="M31" s="148">
        <f t="shared" si="4"/>
        <v>-31000</v>
      </c>
      <c r="O31" s="147" t="s">
        <v>129</v>
      </c>
      <c r="P31" s="158" t="s">
        <v>130</v>
      </c>
      <c r="Q31" s="148">
        <v>5914076.6799999997</v>
      </c>
      <c r="R31" s="148">
        <v>6224576.2400000012</v>
      </c>
      <c r="S31" s="94">
        <v>3830327.42</v>
      </c>
      <c r="T31" s="148">
        <v>1393876</v>
      </c>
      <c r="U31" s="148">
        <v>1420692.28</v>
      </c>
    </row>
    <row r="32" spans="1:21" x14ac:dyDescent="0.2">
      <c r="A32" s="147" t="s">
        <v>131</v>
      </c>
      <c r="B32" s="145"/>
      <c r="C32" s="148">
        <v>402058.85000000003</v>
      </c>
      <c r="D32" s="148">
        <v>142391.49000000002</v>
      </c>
      <c r="E32" s="94">
        <v>227061.37</v>
      </c>
      <c r="F32" s="148">
        <v>238812.84</v>
      </c>
      <c r="G32" s="148">
        <f>+F32*(1+$G$5)</f>
        <v>245977.22520000002</v>
      </c>
      <c r="H32" s="149"/>
      <c r="I32" s="148">
        <f t="shared" si="0"/>
        <v>0</v>
      </c>
      <c r="J32" s="148">
        <f t="shared" si="1"/>
        <v>0</v>
      </c>
      <c r="K32" s="94">
        <f t="shared" si="2"/>
        <v>0</v>
      </c>
      <c r="L32" s="148">
        <f t="shared" si="3"/>
        <v>0</v>
      </c>
      <c r="M32" s="148">
        <f t="shared" si="4"/>
        <v>0</v>
      </c>
      <c r="O32" s="147" t="s">
        <v>131</v>
      </c>
      <c r="P32" s="145"/>
      <c r="Q32" s="148">
        <v>402058.85000000003</v>
      </c>
      <c r="R32" s="148">
        <v>142391.49000000002</v>
      </c>
      <c r="S32" s="94">
        <v>227061.37</v>
      </c>
      <c r="T32" s="148">
        <v>238812.84</v>
      </c>
      <c r="U32" s="148">
        <v>245977.22520000002</v>
      </c>
    </row>
    <row r="33" spans="1:21" x14ac:dyDescent="0.2">
      <c r="A33" s="160" t="s">
        <v>132</v>
      </c>
      <c r="B33" s="145" t="s">
        <v>45</v>
      </c>
      <c r="C33" s="148">
        <v>0</v>
      </c>
      <c r="D33" s="148">
        <v>0</v>
      </c>
      <c r="E33" s="94">
        <v>0</v>
      </c>
      <c r="F33" s="148">
        <v>0</v>
      </c>
      <c r="G33" s="148">
        <v>0</v>
      </c>
      <c r="H33" s="149"/>
      <c r="I33" s="148">
        <f t="shared" si="0"/>
        <v>0</v>
      </c>
      <c r="J33" s="148">
        <f t="shared" si="1"/>
        <v>-343888.65999999992</v>
      </c>
      <c r="K33" s="94">
        <f t="shared" si="2"/>
        <v>0</v>
      </c>
      <c r="L33" s="148">
        <f t="shared" si="3"/>
        <v>0</v>
      </c>
      <c r="M33" s="148">
        <f t="shared" si="4"/>
        <v>0</v>
      </c>
      <c r="O33" s="160" t="s">
        <v>132</v>
      </c>
      <c r="P33" s="145" t="s">
        <v>45</v>
      </c>
      <c r="Q33" s="148">
        <v>0</v>
      </c>
      <c r="R33" s="148">
        <v>343888.65999999992</v>
      </c>
      <c r="S33" s="94">
        <v>0</v>
      </c>
      <c r="T33" s="148">
        <v>0</v>
      </c>
      <c r="U33" s="148">
        <v>0</v>
      </c>
    </row>
    <row r="34" spans="1:21" x14ac:dyDescent="0.2">
      <c r="A34" s="147" t="s">
        <v>133</v>
      </c>
      <c r="B34" s="145"/>
      <c r="C34" s="148">
        <v>239023.99000000002</v>
      </c>
      <c r="D34" s="148">
        <v>236303.75000000003</v>
      </c>
      <c r="E34" s="94">
        <v>216596.23000000004</v>
      </c>
      <c r="F34" s="94">
        <v>215676</v>
      </c>
      <c r="G34" s="148">
        <f>+F34*(1+$G$5)</f>
        <v>222146.28</v>
      </c>
      <c r="H34" s="149"/>
      <c r="I34" s="148">
        <f t="shared" si="0"/>
        <v>0</v>
      </c>
      <c r="J34" s="148">
        <f t="shared" si="1"/>
        <v>0</v>
      </c>
      <c r="K34" s="94">
        <f t="shared" si="2"/>
        <v>0</v>
      </c>
      <c r="L34" s="94">
        <f t="shared" si="3"/>
        <v>0</v>
      </c>
      <c r="M34" s="148">
        <f t="shared" si="4"/>
        <v>0</v>
      </c>
      <c r="O34" s="147" t="s">
        <v>133</v>
      </c>
      <c r="P34" s="145"/>
      <c r="Q34" s="148">
        <v>239023.99000000002</v>
      </c>
      <c r="R34" s="148">
        <v>236303.75000000003</v>
      </c>
      <c r="S34" s="94">
        <v>216596.23000000004</v>
      </c>
      <c r="T34" s="94">
        <v>215676</v>
      </c>
      <c r="U34" s="148">
        <v>222146.28</v>
      </c>
    </row>
    <row r="35" spans="1:21" x14ac:dyDescent="0.2">
      <c r="A35" s="144" t="s">
        <v>134</v>
      </c>
      <c r="B35" s="145" t="s">
        <v>51</v>
      </c>
      <c r="C35" s="148">
        <v>1394323.33</v>
      </c>
      <c r="D35" s="148">
        <v>1677880.02</v>
      </c>
      <c r="E35" s="94">
        <v>1651448.46</v>
      </c>
      <c r="F35" s="148">
        <f>+L.2!E27</f>
        <v>1728461.67</v>
      </c>
      <c r="G35" s="148">
        <f>+L.2!F27</f>
        <v>1780315.52</v>
      </c>
      <c r="H35" s="149"/>
      <c r="I35" s="148">
        <f t="shared" si="0"/>
        <v>0</v>
      </c>
      <c r="J35" s="148">
        <f t="shared" si="1"/>
        <v>0</v>
      </c>
      <c r="K35" s="94">
        <f t="shared" si="2"/>
        <v>0</v>
      </c>
      <c r="L35" s="148">
        <f t="shared" si="3"/>
        <v>88853.669999999925</v>
      </c>
      <c r="M35" s="148">
        <f t="shared" si="4"/>
        <v>91519.280000000028</v>
      </c>
      <c r="O35" s="144" t="s">
        <v>134</v>
      </c>
      <c r="P35" s="145" t="s">
        <v>51</v>
      </c>
      <c r="Q35" s="148">
        <v>1394323.33</v>
      </c>
      <c r="R35" s="148">
        <v>1677880.02</v>
      </c>
      <c r="S35" s="94">
        <v>1651448.46</v>
      </c>
      <c r="T35" s="148">
        <v>1639608</v>
      </c>
      <c r="U35" s="148">
        <v>1688796.24</v>
      </c>
    </row>
    <row r="36" spans="1:21" x14ac:dyDescent="0.2">
      <c r="A36" s="144" t="s">
        <v>135</v>
      </c>
      <c r="B36" s="145"/>
      <c r="C36" s="148">
        <v>1511.7099999999998</v>
      </c>
      <c r="D36" s="148">
        <v>3717.17</v>
      </c>
      <c r="E36" s="94">
        <v>4895.6000000000004</v>
      </c>
      <c r="F36" s="94">
        <v>3214.86</v>
      </c>
      <c r="G36" s="148">
        <f>+F36*(1+$G$5)</f>
        <v>3311.3058000000001</v>
      </c>
      <c r="H36" s="149"/>
      <c r="I36" s="148">
        <f t="shared" si="0"/>
        <v>0</v>
      </c>
      <c r="J36" s="148">
        <f t="shared" si="1"/>
        <v>0</v>
      </c>
      <c r="K36" s="94">
        <f t="shared" si="2"/>
        <v>0</v>
      </c>
      <c r="L36" s="94">
        <f t="shared" si="3"/>
        <v>-1501.1399999999999</v>
      </c>
      <c r="M36" s="148">
        <f t="shared" si="4"/>
        <v>-1546.1742000000004</v>
      </c>
      <c r="O36" s="144" t="s">
        <v>135</v>
      </c>
      <c r="P36" s="145"/>
      <c r="Q36" s="148">
        <v>1511.7099999999998</v>
      </c>
      <c r="R36" s="148">
        <v>3717.17</v>
      </c>
      <c r="S36" s="94">
        <v>4895.6000000000004</v>
      </c>
      <c r="T36" s="94">
        <v>4716</v>
      </c>
      <c r="U36" s="148">
        <v>4857.4800000000005</v>
      </c>
    </row>
    <row r="37" spans="1:21" x14ac:dyDescent="0.2">
      <c r="A37" s="147" t="s">
        <v>136</v>
      </c>
      <c r="B37" s="158" t="s">
        <v>61</v>
      </c>
      <c r="C37" s="148">
        <v>5389359.6100000003</v>
      </c>
      <c r="D37" s="148">
        <v>3840172.5900000003</v>
      </c>
      <c r="E37" s="94">
        <v>2447476.0199999996</v>
      </c>
      <c r="F37" s="148">
        <f>+M.1!E13</f>
        <v>2392281.5</v>
      </c>
      <c r="G37" s="148">
        <f>+M.1!F13</f>
        <v>2508403.9004000002</v>
      </c>
      <c r="H37" s="149"/>
      <c r="I37" s="148">
        <f t="shared" si="0"/>
        <v>0</v>
      </c>
      <c r="J37" s="148">
        <f t="shared" si="1"/>
        <v>0</v>
      </c>
      <c r="K37" s="94">
        <f t="shared" si="2"/>
        <v>0</v>
      </c>
      <c r="L37" s="148">
        <f t="shared" si="3"/>
        <v>-857000</v>
      </c>
      <c r="M37" s="148">
        <f t="shared" si="4"/>
        <v>610000.00000000023</v>
      </c>
      <c r="O37" s="147" t="s">
        <v>136</v>
      </c>
      <c r="P37" s="158" t="s">
        <v>61</v>
      </c>
      <c r="Q37" s="148">
        <v>5389359.6100000003</v>
      </c>
      <c r="R37" s="148">
        <v>3840172.5900000003</v>
      </c>
      <c r="S37" s="94">
        <v>2447476.0199999996</v>
      </c>
      <c r="T37" s="148">
        <v>3249281.5</v>
      </c>
      <c r="U37" s="148">
        <v>1898403.9003999999</v>
      </c>
    </row>
    <row r="38" spans="1:21" x14ac:dyDescent="0.2">
      <c r="A38" s="147" t="s">
        <v>137</v>
      </c>
      <c r="B38" s="145"/>
      <c r="C38" s="148">
        <v>3617415.16</v>
      </c>
      <c r="D38" s="148">
        <v>3834503.99</v>
      </c>
      <c r="E38" s="94">
        <v>3925643.32</v>
      </c>
      <c r="F38" s="148">
        <v>4005671.85</v>
      </c>
      <c r="G38" s="148">
        <v>5894281</v>
      </c>
      <c r="H38" s="149"/>
      <c r="I38" s="148">
        <f t="shared" si="0"/>
        <v>0</v>
      </c>
      <c r="J38" s="148">
        <f t="shared" si="1"/>
        <v>0</v>
      </c>
      <c r="K38" s="94">
        <f t="shared" si="2"/>
        <v>0</v>
      </c>
      <c r="L38" s="148">
        <f t="shared" si="3"/>
        <v>0</v>
      </c>
      <c r="M38" s="148">
        <f t="shared" si="4"/>
        <v>522438</v>
      </c>
      <c r="O38" s="147" t="s">
        <v>137</v>
      </c>
      <c r="P38" s="145"/>
      <c r="Q38" s="148">
        <v>3617415.16</v>
      </c>
      <c r="R38" s="148">
        <v>3834503.99</v>
      </c>
      <c r="S38" s="94">
        <v>3925643.32</v>
      </c>
      <c r="T38" s="148">
        <v>4005671.85</v>
      </c>
      <c r="U38" s="148">
        <v>5371843</v>
      </c>
    </row>
    <row r="39" spans="1:21" x14ac:dyDescent="0.2">
      <c r="A39" s="144" t="s">
        <v>138</v>
      </c>
      <c r="B39" s="145" t="s">
        <v>51</v>
      </c>
      <c r="C39" s="148">
        <v>511176.55000000028</v>
      </c>
      <c r="D39" s="148">
        <v>500971.74000000005</v>
      </c>
      <c r="E39" s="94">
        <v>817557.87000000011</v>
      </c>
      <c r="F39" s="148">
        <f>+L.2!E45</f>
        <v>754445.76</v>
      </c>
      <c r="G39" s="148">
        <f>+L.2!F45</f>
        <v>777079.13280000002</v>
      </c>
      <c r="H39" s="149"/>
      <c r="I39" s="148">
        <f t="shared" si="0"/>
        <v>0</v>
      </c>
      <c r="J39" s="148">
        <f t="shared" si="1"/>
        <v>0</v>
      </c>
      <c r="K39" s="94">
        <f t="shared" si="2"/>
        <v>0</v>
      </c>
      <c r="L39" s="148">
        <f t="shared" si="3"/>
        <v>-110010.23999999999</v>
      </c>
      <c r="M39" s="148">
        <f t="shared" si="4"/>
        <v>-113310.54719999991</v>
      </c>
      <c r="O39" s="144" t="s">
        <v>138</v>
      </c>
      <c r="P39" s="145" t="s">
        <v>51</v>
      </c>
      <c r="Q39" s="148">
        <v>511176.55000000028</v>
      </c>
      <c r="R39" s="148">
        <v>500971.74000000005</v>
      </c>
      <c r="S39" s="94">
        <v>817557.87000000011</v>
      </c>
      <c r="T39" s="148">
        <v>864456</v>
      </c>
      <c r="U39" s="148">
        <v>890389.67999999993</v>
      </c>
    </row>
    <row r="40" spans="1:21" x14ac:dyDescent="0.2">
      <c r="A40" s="147" t="s">
        <v>139</v>
      </c>
      <c r="B40" s="145"/>
      <c r="C40" s="148">
        <v>870065.72000000009</v>
      </c>
      <c r="D40" s="148">
        <v>839496.45</v>
      </c>
      <c r="E40" s="94">
        <v>606399.63</v>
      </c>
      <c r="F40" s="148">
        <v>656147.64</v>
      </c>
      <c r="G40" s="148">
        <f>+F40*(1+$G$5)</f>
        <v>675832.06920000003</v>
      </c>
      <c r="H40" s="149"/>
      <c r="I40" s="148">
        <f t="shared" si="0"/>
        <v>0</v>
      </c>
      <c r="J40" s="148">
        <f t="shared" si="1"/>
        <v>0</v>
      </c>
      <c r="K40" s="94">
        <f t="shared" si="2"/>
        <v>0</v>
      </c>
      <c r="L40" s="148">
        <f t="shared" si="3"/>
        <v>49748.010000000009</v>
      </c>
      <c r="M40" s="148">
        <f t="shared" si="4"/>
        <v>51240.450300000026</v>
      </c>
      <c r="O40" s="147" t="s">
        <v>139</v>
      </c>
      <c r="P40" s="145"/>
      <c r="Q40" s="148">
        <v>870065.72000000009</v>
      </c>
      <c r="R40" s="148">
        <v>839496.45</v>
      </c>
      <c r="S40" s="94">
        <v>606399.63</v>
      </c>
      <c r="T40" s="148">
        <v>606399.63</v>
      </c>
      <c r="U40" s="148">
        <v>624591.6189</v>
      </c>
    </row>
    <row r="41" spans="1:21" x14ac:dyDescent="0.2">
      <c r="A41" s="144" t="s">
        <v>140</v>
      </c>
      <c r="B41" s="145"/>
      <c r="C41" s="148">
        <v>1640180.93</v>
      </c>
      <c r="D41" s="148">
        <v>2041708.6700000004</v>
      </c>
      <c r="E41" s="94">
        <v>2600788.13</v>
      </c>
      <c r="F41" s="94">
        <v>2307948.81</v>
      </c>
      <c r="G41" s="148">
        <f>+F41*(1+$G$5)</f>
        <v>2377187.2743000002</v>
      </c>
      <c r="H41" s="149"/>
      <c r="I41" s="148">
        <f t="shared" si="0"/>
        <v>0</v>
      </c>
      <c r="J41" s="148">
        <f t="shared" si="1"/>
        <v>0</v>
      </c>
      <c r="K41" s="94">
        <f t="shared" si="2"/>
        <v>0</v>
      </c>
      <c r="L41" s="94">
        <f t="shared" si="3"/>
        <v>39597.100000000093</v>
      </c>
      <c r="M41" s="148">
        <f t="shared" si="4"/>
        <v>40785.013000000268</v>
      </c>
      <c r="O41" s="144" t="s">
        <v>140</v>
      </c>
      <c r="P41" s="145"/>
      <c r="Q41" s="148">
        <v>1640180.93</v>
      </c>
      <c r="R41" s="148">
        <v>2041708.6700000004</v>
      </c>
      <c r="S41" s="94">
        <v>2600788.13</v>
      </c>
      <c r="T41" s="94">
        <v>2268351.71</v>
      </c>
      <c r="U41" s="148">
        <v>2336402.2612999999</v>
      </c>
    </row>
    <row r="42" spans="1:21" x14ac:dyDescent="0.2">
      <c r="A42" s="144" t="s">
        <v>141</v>
      </c>
      <c r="B42" s="145"/>
      <c r="C42" s="148">
        <v>1488370.84</v>
      </c>
      <c r="D42" s="148">
        <v>1472988.54</v>
      </c>
      <c r="E42" s="94">
        <v>1668080.51</v>
      </c>
      <c r="F42" s="94">
        <v>1777041.71</v>
      </c>
      <c r="G42" s="148">
        <v>1823649.8654011297</v>
      </c>
      <c r="H42" s="149"/>
      <c r="I42" s="148">
        <f t="shared" si="0"/>
        <v>0</v>
      </c>
      <c r="J42" s="148">
        <f t="shared" si="1"/>
        <v>0</v>
      </c>
      <c r="K42" s="94">
        <f t="shared" si="2"/>
        <v>0</v>
      </c>
      <c r="L42" s="94">
        <f t="shared" si="3"/>
        <v>32507.716494220309</v>
      </c>
      <c r="M42" s="148">
        <f t="shared" si="4"/>
        <v>2840.127721701283</v>
      </c>
      <c r="O42" s="144" t="s">
        <v>141</v>
      </c>
      <c r="P42" s="145"/>
      <c r="Q42" s="148">
        <v>1488370.84</v>
      </c>
      <c r="R42" s="148">
        <v>1472988.54</v>
      </c>
      <c r="S42" s="94">
        <v>1668080.51</v>
      </c>
      <c r="T42" s="94">
        <v>1744533.9935057797</v>
      </c>
      <c r="U42" s="148">
        <v>1820809.7376794284</v>
      </c>
    </row>
    <row r="43" spans="1:21" x14ac:dyDescent="0.2">
      <c r="A43" s="159" t="s">
        <v>142</v>
      </c>
      <c r="B43" s="158" t="s">
        <v>63</v>
      </c>
      <c r="C43" s="148">
        <v>18987.67143320293</v>
      </c>
      <c r="D43" s="148">
        <v>14416.54549330947</v>
      </c>
      <c r="E43" s="94">
        <v>20131.708907075423</v>
      </c>
      <c r="F43" s="94">
        <f>+M.2!E10</f>
        <v>20796.05530100891</v>
      </c>
      <c r="G43" s="94">
        <f>+M.2!F10</f>
        <v>21482.325125942203</v>
      </c>
      <c r="H43" s="161" t="s">
        <v>143</v>
      </c>
      <c r="I43" s="148">
        <f t="shared" si="0"/>
        <v>0</v>
      </c>
      <c r="J43" s="148">
        <f t="shared" si="1"/>
        <v>0</v>
      </c>
      <c r="K43" s="94">
        <f t="shared" si="2"/>
        <v>0</v>
      </c>
      <c r="L43" s="94">
        <f t="shared" si="3"/>
        <v>40.263417814148852</v>
      </c>
      <c r="M43" s="94">
        <f t="shared" si="4"/>
        <v>83.103694368404831</v>
      </c>
      <c r="O43" s="147" t="s">
        <v>144</v>
      </c>
      <c r="P43" s="158" t="s">
        <v>63</v>
      </c>
      <c r="Q43" s="148">
        <v>18987.67143320293</v>
      </c>
      <c r="R43" s="148">
        <v>14416.54549330947</v>
      </c>
      <c r="S43" s="94">
        <v>20131.708907075423</v>
      </c>
      <c r="T43" s="94">
        <v>20755.791883194761</v>
      </c>
      <c r="U43" s="94">
        <v>21399.221431573798</v>
      </c>
    </row>
    <row r="44" spans="1:21" x14ac:dyDescent="0.2">
      <c r="A44" s="144" t="s">
        <v>145</v>
      </c>
      <c r="B44" s="145"/>
      <c r="C44" s="148">
        <v>221840.45</v>
      </c>
      <c r="D44" s="148">
        <v>261005.25</v>
      </c>
      <c r="E44" s="94">
        <v>268703.68</v>
      </c>
      <c r="F44" s="94">
        <v>265526.84999999998</v>
      </c>
      <c r="G44" s="148">
        <f>+F44*(1+$G$5)</f>
        <v>273492.65549999999</v>
      </c>
      <c r="H44" s="149"/>
      <c r="I44" s="148">
        <f t="shared" si="0"/>
        <v>0</v>
      </c>
      <c r="J44" s="148">
        <f t="shared" si="1"/>
        <v>0</v>
      </c>
      <c r="K44" s="94">
        <f t="shared" si="2"/>
        <v>0</v>
      </c>
      <c r="L44" s="94">
        <f t="shared" si="3"/>
        <v>-6045.1500000000233</v>
      </c>
      <c r="M44" s="148">
        <f t="shared" si="4"/>
        <v>-6226.5045000000391</v>
      </c>
      <c r="O44" s="144" t="s">
        <v>145</v>
      </c>
      <c r="P44" s="145"/>
      <c r="Q44" s="148">
        <v>221840.45</v>
      </c>
      <c r="R44" s="148">
        <v>261005.25</v>
      </c>
      <c r="S44" s="94">
        <v>268703.68</v>
      </c>
      <c r="T44" s="94">
        <v>271572</v>
      </c>
      <c r="U44" s="148">
        <v>279719.16000000003</v>
      </c>
    </row>
    <row r="45" spans="1:21" x14ac:dyDescent="0.2">
      <c r="A45" s="147" t="s">
        <v>146</v>
      </c>
      <c r="B45" s="145" t="s">
        <v>51</v>
      </c>
      <c r="C45" s="148">
        <v>262727.66000000003</v>
      </c>
      <c r="D45" s="148">
        <v>280027.96999999997</v>
      </c>
      <c r="E45" s="94">
        <v>403788.32000000007</v>
      </c>
      <c r="F45" s="148">
        <f>+L.2!E33</f>
        <v>336808.32000000007</v>
      </c>
      <c r="G45" s="148">
        <f>+L.2!F33</f>
        <v>346912.56960000005</v>
      </c>
      <c r="H45" s="149"/>
      <c r="I45" s="148">
        <f t="shared" si="0"/>
        <v>0</v>
      </c>
      <c r="J45" s="148">
        <f t="shared" si="1"/>
        <v>0</v>
      </c>
      <c r="K45" s="94">
        <f t="shared" si="2"/>
        <v>0</v>
      </c>
      <c r="L45" s="148">
        <f t="shared" si="3"/>
        <v>-77071.679999999935</v>
      </c>
      <c r="M45" s="148">
        <f t="shared" si="4"/>
        <v>-79383.830399999977</v>
      </c>
      <c r="O45" s="147" t="s">
        <v>146</v>
      </c>
      <c r="P45" s="145" t="s">
        <v>51</v>
      </c>
      <c r="Q45" s="148">
        <v>262727.66000000003</v>
      </c>
      <c r="R45" s="148">
        <v>280027.96999999997</v>
      </c>
      <c r="S45" s="94">
        <v>403788.32000000007</v>
      </c>
      <c r="T45" s="148">
        <v>413880</v>
      </c>
      <c r="U45" s="148">
        <v>426296.4</v>
      </c>
    </row>
    <row r="46" spans="1:21" x14ac:dyDescent="0.2">
      <c r="A46" s="144" t="s">
        <v>147</v>
      </c>
      <c r="B46" s="145" t="s">
        <v>59</v>
      </c>
      <c r="C46" s="148">
        <v>1273435.6099999999</v>
      </c>
      <c r="D46" s="148">
        <v>1463049.8</v>
      </c>
      <c r="E46" s="94">
        <v>1591485.39</v>
      </c>
      <c r="F46" s="148">
        <f>+L.6!E99</f>
        <v>1574405.81</v>
      </c>
      <c r="G46" s="148">
        <f>+L.6!F99</f>
        <v>2015381.9842999999</v>
      </c>
      <c r="H46" s="149"/>
      <c r="I46" s="148">
        <f t="shared" si="0"/>
        <v>0</v>
      </c>
      <c r="J46" s="148">
        <f t="shared" si="1"/>
        <v>0</v>
      </c>
      <c r="K46" s="94">
        <f t="shared" si="2"/>
        <v>0</v>
      </c>
      <c r="L46" s="148">
        <f t="shared" si="3"/>
        <v>-69654.189999999944</v>
      </c>
      <c r="M46" s="148">
        <f t="shared" si="4"/>
        <v>-71743.815700000152</v>
      </c>
      <c r="O46" s="144" t="s">
        <v>147</v>
      </c>
      <c r="P46" s="145" t="s">
        <v>59</v>
      </c>
      <c r="Q46" s="148">
        <v>1273435.6099999999</v>
      </c>
      <c r="R46" s="148">
        <v>1463049.8</v>
      </c>
      <c r="S46" s="94">
        <v>1591485.39</v>
      </c>
      <c r="T46" s="148">
        <v>1644060</v>
      </c>
      <c r="U46" s="148">
        <v>2087125.8</v>
      </c>
    </row>
    <row r="47" spans="1:21" x14ac:dyDescent="0.2">
      <c r="A47" s="147" t="s">
        <v>148</v>
      </c>
      <c r="B47" s="145"/>
      <c r="C47" s="148">
        <v>344423.96</v>
      </c>
      <c r="D47" s="148">
        <v>408196.59</v>
      </c>
      <c r="E47" s="94">
        <v>-1106803.92</v>
      </c>
      <c r="F47" s="148">
        <v>-8137979.1100000013</v>
      </c>
      <c r="G47" s="148">
        <v>875857.67779999995</v>
      </c>
      <c r="H47" s="149"/>
      <c r="I47" s="148">
        <f t="shared" si="0"/>
        <v>0</v>
      </c>
      <c r="J47" s="148">
        <f t="shared" si="1"/>
        <v>0</v>
      </c>
      <c r="K47" s="94">
        <f t="shared" si="2"/>
        <v>0</v>
      </c>
      <c r="L47" s="148">
        <f t="shared" si="3"/>
        <v>0</v>
      </c>
      <c r="M47" s="148">
        <f t="shared" si="4"/>
        <v>0</v>
      </c>
      <c r="O47" s="147" t="s">
        <v>148</v>
      </c>
      <c r="P47" s="145"/>
      <c r="Q47" s="148">
        <v>344423.96</v>
      </c>
      <c r="R47" s="148">
        <v>408196.59</v>
      </c>
      <c r="S47" s="94">
        <v>-1106803.92</v>
      </c>
      <c r="T47" s="148">
        <v>-8137979.1100000013</v>
      </c>
      <c r="U47" s="148">
        <v>875857.67779999995</v>
      </c>
    </row>
    <row r="48" spans="1:21" x14ac:dyDescent="0.2">
      <c r="A48" s="130" t="s">
        <v>149</v>
      </c>
      <c r="B48" s="162"/>
      <c r="C48" s="163">
        <f t="shared" ref="C48:G48" si="6">SUM(C14:C47)</f>
        <v>109272348.29938582</v>
      </c>
      <c r="D48" s="163">
        <f t="shared" si="6"/>
        <v>112855625.8549635</v>
      </c>
      <c r="E48" s="163">
        <f t="shared" si="6"/>
        <v>118392078.08086088</v>
      </c>
      <c r="F48" s="163">
        <f t="shared" si="6"/>
        <v>125056692.53550847</v>
      </c>
      <c r="G48" s="163">
        <f t="shared" si="6"/>
        <v>143945111.41231832</v>
      </c>
      <c r="H48" s="164"/>
      <c r="I48" s="163">
        <f t="shared" si="0"/>
        <v>0</v>
      </c>
      <c r="J48" s="163">
        <f t="shared" si="1"/>
        <v>-343888.65999999642</v>
      </c>
      <c r="K48" s="163">
        <f t="shared" si="2"/>
        <v>0</v>
      </c>
      <c r="L48" s="163">
        <f t="shared" si="3"/>
        <v>-565861.02804578841</v>
      </c>
      <c r="M48" s="163">
        <f t="shared" si="4"/>
        <v>163057.22570058703</v>
      </c>
      <c r="O48" s="151" t="s">
        <v>10</v>
      </c>
      <c r="P48" s="162"/>
      <c r="Q48" s="163">
        <v>109272348.29938582</v>
      </c>
      <c r="R48" s="163">
        <v>113199514.51496349</v>
      </c>
      <c r="S48" s="163">
        <v>118392078.08086088</v>
      </c>
      <c r="T48" s="163">
        <v>125622553.56355426</v>
      </c>
      <c r="U48" s="163">
        <v>143782054.18661773</v>
      </c>
    </row>
    <row r="49" spans="1:21" s="165" customFormat="1" x14ac:dyDescent="0.2">
      <c r="F49" s="114"/>
      <c r="G49" s="114"/>
      <c r="H49" s="114"/>
      <c r="L49" s="114"/>
      <c r="M49" s="114"/>
    </row>
    <row r="50" spans="1:21" x14ac:dyDescent="0.2">
      <c r="A50" s="166" t="s">
        <v>150</v>
      </c>
      <c r="C50" s="168"/>
      <c r="D50" s="168"/>
      <c r="E50" s="169"/>
      <c r="F50" s="167"/>
      <c r="G50" s="169"/>
      <c r="H50" s="169"/>
      <c r="S50" s="169"/>
      <c r="T50" s="167"/>
      <c r="U50" s="169"/>
    </row>
    <row r="51" spans="1:21" x14ac:dyDescent="0.2">
      <c r="A51" s="170" t="s">
        <v>83</v>
      </c>
      <c r="B51" s="171"/>
      <c r="C51" s="168"/>
      <c r="D51" s="168"/>
      <c r="E51" s="167">
        <v>0</v>
      </c>
      <c r="F51" s="167">
        <v>0</v>
      </c>
      <c r="G51" s="169">
        <f>-G30</f>
        <v>-3406888.7733333334</v>
      </c>
      <c r="H51" s="169"/>
      <c r="I51" s="167"/>
      <c r="J51" s="167"/>
      <c r="K51" s="167">
        <f t="shared" ref="K51:M52" si="7">IFERROR(E51-S51,"")</f>
        <v>0</v>
      </c>
      <c r="L51" s="167">
        <f t="shared" si="7"/>
        <v>0</v>
      </c>
      <c r="M51" s="167">
        <f t="shared" si="7"/>
        <v>0</v>
      </c>
      <c r="S51" s="168"/>
      <c r="T51" s="167"/>
      <c r="U51" s="169">
        <v>-3406888.7733333334</v>
      </c>
    </row>
    <row r="52" spans="1:21" x14ac:dyDescent="0.2">
      <c r="A52" s="166" t="s">
        <v>151</v>
      </c>
      <c r="B52" s="171" t="s">
        <v>41</v>
      </c>
      <c r="E52" s="146">
        <f>-J.2!D47</f>
        <v>-8350999.3048</v>
      </c>
      <c r="F52" s="146">
        <f>-J.2!E47</f>
        <v>-12695271.664694307</v>
      </c>
      <c r="G52" s="146">
        <f>-J.2!F47</f>
        <v>-12413394.645460915</v>
      </c>
      <c r="H52" s="146"/>
      <c r="I52" s="146"/>
      <c r="J52" s="146"/>
      <c r="K52" s="146">
        <f t="shared" si="7"/>
        <v>-1.862645149230957E-9</v>
      </c>
      <c r="L52" s="146">
        <f t="shared" ref="L52:L54" si="8">IFERROR(F52-T52,"")</f>
        <v>-87049.609562305734</v>
      </c>
      <c r="M52" s="146">
        <f t="shared" ref="M52:M54" si="9">IFERROR(G52-U52,"")</f>
        <v>312183.68969543837</v>
      </c>
      <c r="S52" s="146">
        <v>-8350999.3047999982</v>
      </c>
      <c r="T52" s="146">
        <v>-12608222.055132002</v>
      </c>
      <c r="U52" s="146">
        <v>-12725578.335156353</v>
      </c>
    </row>
    <row r="53" spans="1:21" ht="4.5" customHeight="1" x14ac:dyDescent="0.2">
      <c r="A53" s="166"/>
      <c r="E53" s="172"/>
      <c r="F53" s="172"/>
      <c r="G53" s="172"/>
      <c r="H53" s="146"/>
      <c r="I53" s="172"/>
      <c r="J53" s="172"/>
      <c r="K53" s="172"/>
      <c r="L53" s="172"/>
      <c r="M53" s="172"/>
      <c r="S53" s="1357"/>
      <c r="T53" s="1357"/>
      <c r="U53" s="1357"/>
    </row>
    <row r="54" spans="1:21" ht="13.5" thickBot="1" x14ac:dyDescent="0.25">
      <c r="A54" s="166" t="s">
        <v>76</v>
      </c>
      <c r="E54" s="173">
        <f>SUM(E48:E53)</f>
        <v>110041078.77606088</v>
      </c>
      <c r="F54" s="173">
        <f>SUM(F48:F53)</f>
        <v>112361420.87081416</v>
      </c>
      <c r="G54" s="173">
        <f>SUM(G48:G53)</f>
        <v>128124827.99352406</v>
      </c>
      <c r="H54" s="173"/>
      <c r="I54" s="173"/>
      <c r="J54" s="173"/>
      <c r="K54" s="173">
        <f t="shared" ref="K54" si="10">IFERROR(E54-S54,"")</f>
        <v>0</v>
      </c>
      <c r="L54" s="173">
        <f t="shared" si="8"/>
        <v>-652910.637608096</v>
      </c>
      <c r="M54" s="173">
        <f t="shared" si="9"/>
        <v>475240.91539601982</v>
      </c>
      <c r="S54" s="173">
        <v>110041078.77606088</v>
      </c>
      <c r="T54" s="173">
        <v>113014331.50842226</v>
      </c>
      <c r="U54" s="173">
        <v>127649587.07812804</v>
      </c>
    </row>
    <row r="55" spans="1:21" ht="13.5" thickTop="1" x14ac:dyDescent="0.2">
      <c r="E55" s="174"/>
      <c r="F55" s="174"/>
      <c r="G55" s="174"/>
      <c r="H55" s="29"/>
      <c r="I55" s="174"/>
      <c r="J55" s="174"/>
      <c r="K55" s="174"/>
      <c r="L55" s="174"/>
      <c r="M55" s="174"/>
      <c r="S55" s="174"/>
      <c r="T55" s="174"/>
      <c r="U55" s="174"/>
    </row>
  </sheetData>
  <autoFilter ref="A7:G52"/>
  <mergeCells count="5">
    <mergeCell ref="I4:M5"/>
    <mergeCell ref="O4:U5"/>
    <mergeCell ref="C6:E6"/>
    <mergeCell ref="I6:K6"/>
    <mergeCell ref="Q6:S6"/>
  </mergeCells>
  <pageMargins left="1" right="0.75" top="0.75" bottom="0.5" header="0.5" footer="0.5"/>
  <pageSetup scale="73" orientation="landscape" r:id="rId1"/>
  <headerFooter>
    <oddFooter>&amp;L&amp;KFF0000Final Rate Application&amp;CPage &amp;P of &amp;N&amp;R02/10/2017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64"/>
  <sheetViews>
    <sheetView zoomScaleNormal="100" zoomScaleSheetLayoutView="85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activeCell="B8" sqref="B8"/>
    </sheetView>
  </sheetViews>
  <sheetFormatPr defaultRowHeight="12.75" x14ac:dyDescent="0.2"/>
  <cols>
    <col min="1" max="1" width="44.28515625" style="121" customWidth="1"/>
    <col min="2" max="8" width="9.85546875" style="252" customWidth="1"/>
    <col min="9" max="9" width="9.85546875" style="182" customWidth="1"/>
    <col min="10" max="12" width="9.85546875" style="252" customWidth="1"/>
    <col min="13" max="13" width="9.85546875" style="182" customWidth="1"/>
    <col min="14" max="16" width="9.85546875" style="121" customWidth="1"/>
    <col min="17" max="17" width="9.85546875" style="182" customWidth="1"/>
    <col min="18" max="20" width="9.85546875" style="121" customWidth="1"/>
    <col min="21" max="21" width="9.85546875" style="182" customWidth="1"/>
    <col min="22" max="22" width="1.7109375" style="121" customWidth="1"/>
    <col min="23" max="30" width="9.140625" style="121"/>
    <col min="31" max="31" width="1.5703125" style="121" customWidth="1"/>
    <col min="32" max="32" width="45.7109375" style="121" bestFit="1" customWidth="1"/>
    <col min="33" max="34" width="8.7109375" style="121" bestFit="1" customWidth="1"/>
    <col min="35" max="35" width="9.28515625" style="121" bestFit="1" customWidth="1"/>
    <col min="36" max="36" width="9.85546875" style="121" bestFit="1" customWidth="1"/>
    <col min="37" max="38" width="8.7109375" style="121" bestFit="1" customWidth="1"/>
    <col min="39" max="39" width="9.28515625" style="121" bestFit="1" customWidth="1"/>
    <col min="40" max="40" width="9.85546875" style="121" bestFit="1" customWidth="1"/>
    <col min="41" max="159" width="9.140625" style="121"/>
    <col min="160" max="160" width="48.85546875" style="121" customWidth="1"/>
    <col min="161" max="183" width="12.7109375" style="121" customWidth="1"/>
    <col min="184" max="184" width="11.7109375" style="121" customWidth="1"/>
    <col min="185" max="187" width="12.7109375" style="121" customWidth="1"/>
    <col min="188" max="188" width="11.7109375" style="121" customWidth="1"/>
    <col min="189" max="191" width="12.7109375" style="121" customWidth="1"/>
    <col min="192" max="192" width="11.7109375" style="121" customWidth="1"/>
    <col min="193" max="195" width="12.7109375" style="121" customWidth="1"/>
    <col min="196" max="196" width="11.7109375" style="121" customWidth="1"/>
    <col min="197" max="199" width="12.7109375" style="121" customWidth="1"/>
    <col min="200" max="200" width="11.7109375" style="121" customWidth="1"/>
    <col min="201" max="201" width="1.7109375" style="121" customWidth="1"/>
    <col min="202" max="415" width="9.140625" style="121"/>
    <col min="416" max="416" width="48.85546875" style="121" customWidth="1"/>
    <col min="417" max="439" width="12.7109375" style="121" customWidth="1"/>
    <col min="440" max="440" width="11.7109375" style="121" customWidth="1"/>
    <col min="441" max="443" width="12.7109375" style="121" customWidth="1"/>
    <col min="444" max="444" width="11.7109375" style="121" customWidth="1"/>
    <col min="445" max="447" width="12.7109375" style="121" customWidth="1"/>
    <col min="448" max="448" width="11.7109375" style="121" customWidth="1"/>
    <col min="449" max="451" width="12.7109375" style="121" customWidth="1"/>
    <col min="452" max="452" width="11.7109375" style="121" customWidth="1"/>
    <col min="453" max="455" width="12.7109375" style="121" customWidth="1"/>
    <col min="456" max="456" width="11.7109375" style="121" customWidth="1"/>
    <col min="457" max="457" width="1.7109375" style="121" customWidth="1"/>
    <col min="458" max="671" width="9.140625" style="121"/>
    <col min="672" max="672" width="48.85546875" style="121" customWidth="1"/>
    <col min="673" max="695" width="12.7109375" style="121" customWidth="1"/>
    <col min="696" max="696" width="11.7109375" style="121" customWidth="1"/>
    <col min="697" max="699" width="12.7109375" style="121" customWidth="1"/>
    <col min="700" max="700" width="11.7109375" style="121" customWidth="1"/>
    <col min="701" max="703" width="12.7109375" style="121" customWidth="1"/>
    <col min="704" max="704" width="11.7109375" style="121" customWidth="1"/>
    <col min="705" max="707" width="12.7109375" style="121" customWidth="1"/>
    <col min="708" max="708" width="11.7109375" style="121" customWidth="1"/>
    <col min="709" max="711" width="12.7109375" style="121" customWidth="1"/>
    <col min="712" max="712" width="11.7109375" style="121" customWidth="1"/>
    <col min="713" max="713" width="1.7109375" style="121" customWidth="1"/>
    <col min="714" max="927" width="9.140625" style="121"/>
    <col min="928" max="928" width="48.85546875" style="121" customWidth="1"/>
    <col min="929" max="951" width="12.7109375" style="121" customWidth="1"/>
    <col min="952" max="952" width="11.7109375" style="121" customWidth="1"/>
    <col min="953" max="955" width="12.7109375" style="121" customWidth="1"/>
    <col min="956" max="956" width="11.7109375" style="121" customWidth="1"/>
    <col min="957" max="959" width="12.7109375" style="121" customWidth="1"/>
    <col min="960" max="960" width="11.7109375" style="121" customWidth="1"/>
    <col min="961" max="963" width="12.7109375" style="121" customWidth="1"/>
    <col min="964" max="964" width="11.7109375" style="121" customWidth="1"/>
    <col min="965" max="967" width="12.7109375" style="121" customWidth="1"/>
    <col min="968" max="968" width="11.7109375" style="121" customWidth="1"/>
    <col min="969" max="969" width="1.7109375" style="121" customWidth="1"/>
    <col min="970" max="1183" width="9.140625" style="121"/>
    <col min="1184" max="1184" width="48.85546875" style="121" customWidth="1"/>
    <col min="1185" max="1207" width="12.7109375" style="121" customWidth="1"/>
    <col min="1208" max="1208" width="11.7109375" style="121" customWidth="1"/>
    <col min="1209" max="1211" width="12.7109375" style="121" customWidth="1"/>
    <col min="1212" max="1212" width="11.7109375" style="121" customWidth="1"/>
    <col min="1213" max="1215" width="12.7109375" style="121" customWidth="1"/>
    <col min="1216" max="1216" width="11.7109375" style="121" customWidth="1"/>
    <col min="1217" max="1219" width="12.7109375" style="121" customWidth="1"/>
    <col min="1220" max="1220" width="11.7109375" style="121" customWidth="1"/>
    <col min="1221" max="1223" width="12.7109375" style="121" customWidth="1"/>
    <col min="1224" max="1224" width="11.7109375" style="121" customWidth="1"/>
    <col min="1225" max="1225" width="1.7109375" style="121" customWidth="1"/>
    <col min="1226" max="1439" width="9.140625" style="121"/>
    <col min="1440" max="1440" width="48.85546875" style="121" customWidth="1"/>
    <col min="1441" max="1463" width="12.7109375" style="121" customWidth="1"/>
    <col min="1464" max="1464" width="11.7109375" style="121" customWidth="1"/>
    <col min="1465" max="1467" width="12.7109375" style="121" customWidth="1"/>
    <col min="1468" max="1468" width="11.7109375" style="121" customWidth="1"/>
    <col min="1469" max="1471" width="12.7109375" style="121" customWidth="1"/>
    <col min="1472" max="1472" width="11.7109375" style="121" customWidth="1"/>
    <col min="1473" max="1475" width="12.7109375" style="121" customWidth="1"/>
    <col min="1476" max="1476" width="11.7109375" style="121" customWidth="1"/>
    <col min="1477" max="1479" width="12.7109375" style="121" customWidth="1"/>
    <col min="1480" max="1480" width="11.7109375" style="121" customWidth="1"/>
    <col min="1481" max="1481" width="1.7109375" style="121" customWidth="1"/>
    <col min="1482" max="1695" width="9.140625" style="121"/>
    <col min="1696" max="1696" width="48.85546875" style="121" customWidth="1"/>
    <col min="1697" max="1719" width="12.7109375" style="121" customWidth="1"/>
    <col min="1720" max="1720" width="11.7109375" style="121" customWidth="1"/>
    <col min="1721" max="1723" width="12.7109375" style="121" customWidth="1"/>
    <col min="1724" max="1724" width="11.7109375" style="121" customWidth="1"/>
    <col min="1725" max="1727" width="12.7109375" style="121" customWidth="1"/>
    <col min="1728" max="1728" width="11.7109375" style="121" customWidth="1"/>
    <col min="1729" max="1731" width="12.7109375" style="121" customWidth="1"/>
    <col min="1732" max="1732" width="11.7109375" style="121" customWidth="1"/>
    <col min="1733" max="1735" width="12.7109375" style="121" customWidth="1"/>
    <col min="1736" max="1736" width="11.7109375" style="121" customWidth="1"/>
    <col min="1737" max="1737" width="1.7109375" style="121" customWidth="1"/>
    <col min="1738" max="1951" width="9.140625" style="121"/>
    <col min="1952" max="1952" width="48.85546875" style="121" customWidth="1"/>
    <col min="1953" max="1975" width="12.7109375" style="121" customWidth="1"/>
    <col min="1976" max="1976" width="11.7109375" style="121" customWidth="1"/>
    <col min="1977" max="1979" width="12.7109375" style="121" customWidth="1"/>
    <col min="1980" max="1980" width="11.7109375" style="121" customWidth="1"/>
    <col min="1981" max="1983" width="12.7109375" style="121" customWidth="1"/>
    <col min="1984" max="1984" width="11.7109375" style="121" customWidth="1"/>
    <col min="1985" max="1987" width="12.7109375" style="121" customWidth="1"/>
    <col min="1988" max="1988" width="11.7109375" style="121" customWidth="1"/>
    <col min="1989" max="1991" width="12.7109375" style="121" customWidth="1"/>
    <col min="1992" max="1992" width="11.7109375" style="121" customWidth="1"/>
    <col min="1993" max="1993" width="1.7109375" style="121" customWidth="1"/>
    <col min="1994" max="2207" width="9.140625" style="121"/>
    <col min="2208" max="2208" width="48.85546875" style="121" customWidth="1"/>
    <col min="2209" max="2231" width="12.7109375" style="121" customWidth="1"/>
    <col min="2232" max="2232" width="11.7109375" style="121" customWidth="1"/>
    <col min="2233" max="2235" width="12.7109375" style="121" customWidth="1"/>
    <col min="2236" max="2236" width="11.7109375" style="121" customWidth="1"/>
    <col min="2237" max="2239" width="12.7109375" style="121" customWidth="1"/>
    <col min="2240" max="2240" width="11.7109375" style="121" customWidth="1"/>
    <col min="2241" max="2243" width="12.7109375" style="121" customWidth="1"/>
    <col min="2244" max="2244" width="11.7109375" style="121" customWidth="1"/>
    <col min="2245" max="2247" width="12.7109375" style="121" customWidth="1"/>
    <col min="2248" max="2248" width="11.7109375" style="121" customWidth="1"/>
    <col min="2249" max="2249" width="1.7109375" style="121" customWidth="1"/>
    <col min="2250" max="2463" width="9.140625" style="121"/>
    <col min="2464" max="2464" width="48.85546875" style="121" customWidth="1"/>
    <col min="2465" max="2487" width="12.7109375" style="121" customWidth="1"/>
    <col min="2488" max="2488" width="11.7109375" style="121" customWidth="1"/>
    <col min="2489" max="2491" width="12.7109375" style="121" customWidth="1"/>
    <col min="2492" max="2492" width="11.7109375" style="121" customWidth="1"/>
    <col min="2493" max="2495" width="12.7109375" style="121" customWidth="1"/>
    <col min="2496" max="2496" width="11.7109375" style="121" customWidth="1"/>
    <col min="2497" max="2499" width="12.7109375" style="121" customWidth="1"/>
    <col min="2500" max="2500" width="11.7109375" style="121" customWidth="1"/>
    <col min="2501" max="2503" width="12.7109375" style="121" customWidth="1"/>
    <col min="2504" max="2504" width="11.7109375" style="121" customWidth="1"/>
    <col min="2505" max="2505" width="1.7109375" style="121" customWidth="1"/>
    <col min="2506" max="2719" width="9.140625" style="121"/>
    <col min="2720" max="2720" width="48.85546875" style="121" customWidth="1"/>
    <col min="2721" max="2743" width="12.7109375" style="121" customWidth="1"/>
    <col min="2744" max="2744" width="11.7109375" style="121" customWidth="1"/>
    <col min="2745" max="2747" width="12.7109375" style="121" customWidth="1"/>
    <col min="2748" max="2748" width="11.7109375" style="121" customWidth="1"/>
    <col min="2749" max="2751" width="12.7109375" style="121" customWidth="1"/>
    <col min="2752" max="2752" width="11.7109375" style="121" customWidth="1"/>
    <col min="2753" max="2755" width="12.7109375" style="121" customWidth="1"/>
    <col min="2756" max="2756" width="11.7109375" style="121" customWidth="1"/>
    <col min="2757" max="2759" width="12.7109375" style="121" customWidth="1"/>
    <col min="2760" max="2760" width="11.7109375" style="121" customWidth="1"/>
    <col min="2761" max="2761" width="1.7109375" style="121" customWidth="1"/>
    <col min="2762" max="2975" width="9.140625" style="121"/>
    <col min="2976" max="2976" width="48.85546875" style="121" customWidth="1"/>
    <col min="2977" max="2999" width="12.7109375" style="121" customWidth="1"/>
    <col min="3000" max="3000" width="11.7109375" style="121" customWidth="1"/>
    <col min="3001" max="3003" width="12.7109375" style="121" customWidth="1"/>
    <col min="3004" max="3004" width="11.7109375" style="121" customWidth="1"/>
    <col min="3005" max="3007" width="12.7109375" style="121" customWidth="1"/>
    <col min="3008" max="3008" width="11.7109375" style="121" customWidth="1"/>
    <col min="3009" max="3011" width="12.7109375" style="121" customWidth="1"/>
    <col min="3012" max="3012" width="11.7109375" style="121" customWidth="1"/>
    <col min="3013" max="3015" width="12.7109375" style="121" customWidth="1"/>
    <col min="3016" max="3016" width="11.7109375" style="121" customWidth="1"/>
    <col min="3017" max="3017" width="1.7109375" style="121" customWidth="1"/>
    <col min="3018" max="3231" width="9.140625" style="121"/>
    <col min="3232" max="3232" width="48.85546875" style="121" customWidth="1"/>
    <col min="3233" max="3255" width="12.7109375" style="121" customWidth="1"/>
    <col min="3256" max="3256" width="11.7109375" style="121" customWidth="1"/>
    <col min="3257" max="3259" width="12.7109375" style="121" customWidth="1"/>
    <col min="3260" max="3260" width="11.7109375" style="121" customWidth="1"/>
    <col min="3261" max="3263" width="12.7109375" style="121" customWidth="1"/>
    <col min="3264" max="3264" width="11.7109375" style="121" customWidth="1"/>
    <col min="3265" max="3267" width="12.7109375" style="121" customWidth="1"/>
    <col min="3268" max="3268" width="11.7109375" style="121" customWidth="1"/>
    <col min="3269" max="3271" width="12.7109375" style="121" customWidth="1"/>
    <col min="3272" max="3272" width="11.7109375" style="121" customWidth="1"/>
    <col min="3273" max="3273" width="1.7109375" style="121" customWidth="1"/>
    <col min="3274" max="3487" width="9.140625" style="121"/>
    <col min="3488" max="3488" width="48.85546875" style="121" customWidth="1"/>
    <col min="3489" max="3511" width="12.7109375" style="121" customWidth="1"/>
    <col min="3512" max="3512" width="11.7109375" style="121" customWidth="1"/>
    <col min="3513" max="3515" width="12.7109375" style="121" customWidth="1"/>
    <col min="3516" max="3516" width="11.7109375" style="121" customWidth="1"/>
    <col min="3517" max="3519" width="12.7109375" style="121" customWidth="1"/>
    <col min="3520" max="3520" width="11.7109375" style="121" customWidth="1"/>
    <col min="3521" max="3523" width="12.7109375" style="121" customWidth="1"/>
    <col min="3524" max="3524" width="11.7109375" style="121" customWidth="1"/>
    <col min="3525" max="3527" width="12.7109375" style="121" customWidth="1"/>
    <col min="3528" max="3528" width="11.7109375" style="121" customWidth="1"/>
    <col min="3529" max="3529" width="1.7109375" style="121" customWidth="1"/>
    <col min="3530" max="3743" width="9.140625" style="121"/>
    <col min="3744" max="3744" width="48.85546875" style="121" customWidth="1"/>
    <col min="3745" max="3767" width="12.7109375" style="121" customWidth="1"/>
    <col min="3768" max="3768" width="11.7109375" style="121" customWidth="1"/>
    <col min="3769" max="3771" width="12.7109375" style="121" customWidth="1"/>
    <col min="3772" max="3772" width="11.7109375" style="121" customWidth="1"/>
    <col min="3773" max="3775" width="12.7109375" style="121" customWidth="1"/>
    <col min="3776" max="3776" width="11.7109375" style="121" customWidth="1"/>
    <col min="3777" max="3779" width="12.7109375" style="121" customWidth="1"/>
    <col min="3780" max="3780" width="11.7109375" style="121" customWidth="1"/>
    <col min="3781" max="3783" width="12.7109375" style="121" customWidth="1"/>
    <col min="3784" max="3784" width="11.7109375" style="121" customWidth="1"/>
    <col min="3785" max="3785" width="1.7109375" style="121" customWidth="1"/>
    <col min="3786" max="3999" width="9.140625" style="121"/>
    <col min="4000" max="4000" width="48.85546875" style="121" customWidth="1"/>
    <col min="4001" max="4023" width="12.7109375" style="121" customWidth="1"/>
    <col min="4024" max="4024" width="11.7109375" style="121" customWidth="1"/>
    <col min="4025" max="4027" width="12.7109375" style="121" customWidth="1"/>
    <col min="4028" max="4028" width="11.7109375" style="121" customWidth="1"/>
    <col min="4029" max="4031" width="12.7109375" style="121" customWidth="1"/>
    <col min="4032" max="4032" width="11.7109375" style="121" customWidth="1"/>
    <col min="4033" max="4035" width="12.7109375" style="121" customWidth="1"/>
    <col min="4036" max="4036" width="11.7109375" style="121" customWidth="1"/>
    <col min="4037" max="4039" width="12.7109375" style="121" customWidth="1"/>
    <col min="4040" max="4040" width="11.7109375" style="121" customWidth="1"/>
    <col min="4041" max="4041" width="1.7109375" style="121" customWidth="1"/>
    <col min="4042" max="4255" width="9.140625" style="121"/>
    <col min="4256" max="4256" width="48.85546875" style="121" customWidth="1"/>
    <col min="4257" max="4279" width="12.7109375" style="121" customWidth="1"/>
    <col min="4280" max="4280" width="11.7109375" style="121" customWidth="1"/>
    <col min="4281" max="4283" width="12.7109375" style="121" customWidth="1"/>
    <col min="4284" max="4284" width="11.7109375" style="121" customWidth="1"/>
    <col min="4285" max="4287" width="12.7109375" style="121" customWidth="1"/>
    <col min="4288" max="4288" width="11.7109375" style="121" customWidth="1"/>
    <col min="4289" max="4291" width="12.7109375" style="121" customWidth="1"/>
    <col min="4292" max="4292" width="11.7109375" style="121" customWidth="1"/>
    <col min="4293" max="4295" width="12.7109375" style="121" customWidth="1"/>
    <col min="4296" max="4296" width="11.7109375" style="121" customWidth="1"/>
    <col min="4297" max="4297" width="1.7109375" style="121" customWidth="1"/>
    <col min="4298" max="4511" width="9.140625" style="121"/>
    <col min="4512" max="4512" width="48.85546875" style="121" customWidth="1"/>
    <col min="4513" max="4535" width="12.7109375" style="121" customWidth="1"/>
    <col min="4536" max="4536" width="11.7109375" style="121" customWidth="1"/>
    <col min="4537" max="4539" width="12.7109375" style="121" customWidth="1"/>
    <col min="4540" max="4540" width="11.7109375" style="121" customWidth="1"/>
    <col min="4541" max="4543" width="12.7109375" style="121" customWidth="1"/>
    <col min="4544" max="4544" width="11.7109375" style="121" customWidth="1"/>
    <col min="4545" max="4547" width="12.7109375" style="121" customWidth="1"/>
    <col min="4548" max="4548" width="11.7109375" style="121" customWidth="1"/>
    <col min="4549" max="4551" width="12.7109375" style="121" customWidth="1"/>
    <col min="4552" max="4552" width="11.7109375" style="121" customWidth="1"/>
    <col min="4553" max="4553" width="1.7109375" style="121" customWidth="1"/>
    <col min="4554" max="4767" width="9.140625" style="121"/>
    <col min="4768" max="4768" width="48.85546875" style="121" customWidth="1"/>
    <col min="4769" max="4791" width="12.7109375" style="121" customWidth="1"/>
    <col min="4792" max="4792" width="11.7109375" style="121" customWidth="1"/>
    <col min="4793" max="4795" width="12.7109375" style="121" customWidth="1"/>
    <col min="4796" max="4796" width="11.7109375" style="121" customWidth="1"/>
    <col min="4797" max="4799" width="12.7109375" style="121" customWidth="1"/>
    <col min="4800" max="4800" width="11.7109375" style="121" customWidth="1"/>
    <col min="4801" max="4803" width="12.7109375" style="121" customWidth="1"/>
    <col min="4804" max="4804" width="11.7109375" style="121" customWidth="1"/>
    <col min="4805" max="4807" width="12.7109375" style="121" customWidth="1"/>
    <col min="4808" max="4808" width="11.7109375" style="121" customWidth="1"/>
    <col min="4809" max="4809" width="1.7109375" style="121" customWidth="1"/>
    <col min="4810" max="5023" width="9.140625" style="121"/>
    <col min="5024" max="5024" width="48.85546875" style="121" customWidth="1"/>
    <col min="5025" max="5047" width="12.7109375" style="121" customWidth="1"/>
    <col min="5048" max="5048" width="11.7109375" style="121" customWidth="1"/>
    <col min="5049" max="5051" width="12.7109375" style="121" customWidth="1"/>
    <col min="5052" max="5052" width="11.7109375" style="121" customWidth="1"/>
    <col min="5053" max="5055" width="12.7109375" style="121" customWidth="1"/>
    <col min="5056" max="5056" width="11.7109375" style="121" customWidth="1"/>
    <col min="5057" max="5059" width="12.7109375" style="121" customWidth="1"/>
    <col min="5060" max="5060" width="11.7109375" style="121" customWidth="1"/>
    <col min="5061" max="5063" width="12.7109375" style="121" customWidth="1"/>
    <col min="5064" max="5064" width="11.7109375" style="121" customWidth="1"/>
    <col min="5065" max="5065" width="1.7109375" style="121" customWidth="1"/>
    <col min="5066" max="5279" width="9.140625" style="121"/>
    <col min="5280" max="5280" width="48.85546875" style="121" customWidth="1"/>
    <col min="5281" max="5303" width="12.7109375" style="121" customWidth="1"/>
    <col min="5304" max="5304" width="11.7109375" style="121" customWidth="1"/>
    <col min="5305" max="5307" width="12.7109375" style="121" customWidth="1"/>
    <col min="5308" max="5308" width="11.7109375" style="121" customWidth="1"/>
    <col min="5309" max="5311" width="12.7109375" style="121" customWidth="1"/>
    <col min="5312" max="5312" width="11.7109375" style="121" customWidth="1"/>
    <col min="5313" max="5315" width="12.7109375" style="121" customWidth="1"/>
    <col min="5316" max="5316" width="11.7109375" style="121" customWidth="1"/>
    <col min="5317" max="5319" width="12.7109375" style="121" customWidth="1"/>
    <col min="5320" max="5320" width="11.7109375" style="121" customWidth="1"/>
    <col min="5321" max="5321" width="1.7109375" style="121" customWidth="1"/>
    <col min="5322" max="5535" width="9.140625" style="121"/>
    <col min="5536" max="5536" width="48.85546875" style="121" customWidth="1"/>
    <col min="5537" max="5559" width="12.7109375" style="121" customWidth="1"/>
    <col min="5560" max="5560" width="11.7109375" style="121" customWidth="1"/>
    <col min="5561" max="5563" width="12.7109375" style="121" customWidth="1"/>
    <col min="5564" max="5564" width="11.7109375" style="121" customWidth="1"/>
    <col min="5565" max="5567" width="12.7109375" style="121" customWidth="1"/>
    <col min="5568" max="5568" width="11.7109375" style="121" customWidth="1"/>
    <col min="5569" max="5571" width="12.7109375" style="121" customWidth="1"/>
    <col min="5572" max="5572" width="11.7109375" style="121" customWidth="1"/>
    <col min="5573" max="5575" width="12.7109375" style="121" customWidth="1"/>
    <col min="5576" max="5576" width="11.7109375" style="121" customWidth="1"/>
    <col min="5577" max="5577" width="1.7109375" style="121" customWidth="1"/>
    <col min="5578" max="5791" width="9.140625" style="121"/>
    <col min="5792" max="5792" width="48.85546875" style="121" customWidth="1"/>
    <col min="5793" max="5815" width="12.7109375" style="121" customWidth="1"/>
    <col min="5816" max="5816" width="11.7109375" style="121" customWidth="1"/>
    <col min="5817" max="5819" width="12.7109375" style="121" customWidth="1"/>
    <col min="5820" max="5820" width="11.7109375" style="121" customWidth="1"/>
    <col min="5821" max="5823" width="12.7109375" style="121" customWidth="1"/>
    <col min="5824" max="5824" width="11.7109375" style="121" customWidth="1"/>
    <col min="5825" max="5827" width="12.7109375" style="121" customWidth="1"/>
    <col min="5828" max="5828" width="11.7109375" style="121" customWidth="1"/>
    <col min="5829" max="5831" width="12.7109375" style="121" customWidth="1"/>
    <col min="5832" max="5832" width="11.7109375" style="121" customWidth="1"/>
    <col min="5833" max="5833" width="1.7109375" style="121" customWidth="1"/>
    <col min="5834" max="6047" width="9.140625" style="121"/>
    <col min="6048" max="6048" width="48.85546875" style="121" customWidth="1"/>
    <col min="6049" max="6071" width="12.7109375" style="121" customWidth="1"/>
    <col min="6072" max="6072" width="11.7109375" style="121" customWidth="1"/>
    <col min="6073" max="6075" width="12.7109375" style="121" customWidth="1"/>
    <col min="6076" max="6076" width="11.7109375" style="121" customWidth="1"/>
    <col min="6077" max="6079" width="12.7109375" style="121" customWidth="1"/>
    <col min="6080" max="6080" width="11.7109375" style="121" customWidth="1"/>
    <col min="6081" max="6083" width="12.7109375" style="121" customWidth="1"/>
    <col min="6084" max="6084" width="11.7109375" style="121" customWidth="1"/>
    <col min="6085" max="6087" width="12.7109375" style="121" customWidth="1"/>
    <col min="6088" max="6088" width="11.7109375" style="121" customWidth="1"/>
    <col min="6089" max="6089" width="1.7109375" style="121" customWidth="1"/>
    <col min="6090" max="6303" width="9.140625" style="121"/>
    <col min="6304" max="6304" width="48.85546875" style="121" customWidth="1"/>
    <col min="6305" max="6327" width="12.7109375" style="121" customWidth="1"/>
    <col min="6328" max="6328" width="11.7109375" style="121" customWidth="1"/>
    <col min="6329" max="6331" width="12.7109375" style="121" customWidth="1"/>
    <col min="6332" max="6332" width="11.7109375" style="121" customWidth="1"/>
    <col min="6333" max="6335" width="12.7109375" style="121" customWidth="1"/>
    <col min="6336" max="6336" width="11.7109375" style="121" customWidth="1"/>
    <col min="6337" max="6339" width="12.7109375" style="121" customWidth="1"/>
    <col min="6340" max="6340" width="11.7109375" style="121" customWidth="1"/>
    <col min="6341" max="6343" width="12.7109375" style="121" customWidth="1"/>
    <col min="6344" max="6344" width="11.7109375" style="121" customWidth="1"/>
    <col min="6345" max="6345" width="1.7109375" style="121" customWidth="1"/>
    <col min="6346" max="6559" width="9.140625" style="121"/>
    <col min="6560" max="6560" width="48.85546875" style="121" customWidth="1"/>
    <col min="6561" max="6583" width="12.7109375" style="121" customWidth="1"/>
    <col min="6584" max="6584" width="11.7109375" style="121" customWidth="1"/>
    <col min="6585" max="6587" width="12.7109375" style="121" customWidth="1"/>
    <col min="6588" max="6588" width="11.7109375" style="121" customWidth="1"/>
    <col min="6589" max="6591" width="12.7109375" style="121" customWidth="1"/>
    <col min="6592" max="6592" width="11.7109375" style="121" customWidth="1"/>
    <col min="6593" max="6595" width="12.7109375" style="121" customWidth="1"/>
    <col min="6596" max="6596" width="11.7109375" style="121" customWidth="1"/>
    <col min="6597" max="6599" width="12.7109375" style="121" customWidth="1"/>
    <col min="6600" max="6600" width="11.7109375" style="121" customWidth="1"/>
    <col min="6601" max="6601" width="1.7109375" style="121" customWidth="1"/>
    <col min="6602" max="6815" width="9.140625" style="121"/>
    <col min="6816" max="6816" width="48.85546875" style="121" customWidth="1"/>
    <col min="6817" max="6839" width="12.7109375" style="121" customWidth="1"/>
    <col min="6840" max="6840" width="11.7109375" style="121" customWidth="1"/>
    <col min="6841" max="6843" width="12.7109375" style="121" customWidth="1"/>
    <col min="6844" max="6844" width="11.7109375" style="121" customWidth="1"/>
    <col min="6845" max="6847" width="12.7109375" style="121" customWidth="1"/>
    <col min="6848" max="6848" width="11.7109375" style="121" customWidth="1"/>
    <col min="6849" max="6851" width="12.7109375" style="121" customWidth="1"/>
    <col min="6852" max="6852" width="11.7109375" style="121" customWidth="1"/>
    <col min="6853" max="6855" width="12.7109375" style="121" customWidth="1"/>
    <col min="6856" max="6856" width="11.7109375" style="121" customWidth="1"/>
    <col min="6857" max="6857" width="1.7109375" style="121" customWidth="1"/>
    <col min="6858" max="7071" width="9.140625" style="121"/>
    <col min="7072" max="7072" width="48.85546875" style="121" customWidth="1"/>
    <col min="7073" max="7095" width="12.7109375" style="121" customWidth="1"/>
    <col min="7096" max="7096" width="11.7109375" style="121" customWidth="1"/>
    <col min="7097" max="7099" width="12.7109375" style="121" customWidth="1"/>
    <col min="7100" max="7100" width="11.7109375" style="121" customWidth="1"/>
    <col min="7101" max="7103" width="12.7109375" style="121" customWidth="1"/>
    <col min="7104" max="7104" width="11.7109375" style="121" customWidth="1"/>
    <col min="7105" max="7107" width="12.7109375" style="121" customWidth="1"/>
    <col min="7108" max="7108" width="11.7109375" style="121" customWidth="1"/>
    <col min="7109" max="7111" width="12.7109375" style="121" customWidth="1"/>
    <col min="7112" max="7112" width="11.7109375" style="121" customWidth="1"/>
    <col min="7113" max="7113" width="1.7109375" style="121" customWidth="1"/>
    <col min="7114" max="7327" width="9.140625" style="121"/>
    <col min="7328" max="7328" width="48.85546875" style="121" customWidth="1"/>
    <col min="7329" max="7351" width="12.7109375" style="121" customWidth="1"/>
    <col min="7352" max="7352" width="11.7109375" style="121" customWidth="1"/>
    <col min="7353" max="7355" width="12.7109375" style="121" customWidth="1"/>
    <col min="7356" max="7356" width="11.7109375" style="121" customWidth="1"/>
    <col min="7357" max="7359" width="12.7109375" style="121" customWidth="1"/>
    <col min="7360" max="7360" width="11.7109375" style="121" customWidth="1"/>
    <col min="7361" max="7363" width="12.7109375" style="121" customWidth="1"/>
    <col min="7364" max="7364" width="11.7109375" style="121" customWidth="1"/>
    <col min="7365" max="7367" width="12.7109375" style="121" customWidth="1"/>
    <col min="7368" max="7368" width="11.7109375" style="121" customWidth="1"/>
    <col min="7369" max="7369" width="1.7109375" style="121" customWidth="1"/>
    <col min="7370" max="7583" width="9.140625" style="121"/>
    <col min="7584" max="7584" width="48.85546875" style="121" customWidth="1"/>
    <col min="7585" max="7607" width="12.7109375" style="121" customWidth="1"/>
    <col min="7608" max="7608" width="11.7109375" style="121" customWidth="1"/>
    <col min="7609" max="7611" width="12.7109375" style="121" customWidth="1"/>
    <col min="7612" max="7612" width="11.7109375" style="121" customWidth="1"/>
    <col min="7613" max="7615" width="12.7109375" style="121" customWidth="1"/>
    <col min="7616" max="7616" width="11.7109375" style="121" customWidth="1"/>
    <col min="7617" max="7619" width="12.7109375" style="121" customWidth="1"/>
    <col min="7620" max="7620" width="11.7109375" style="121" customWidth="1"/>
    <col min="7621" max="7623" width="12.7109375" style="121" customWidth="1"/>
    <col min="7624" max="7624" width="11.7109375" style="121" customWidth="1"/>
    <col min="7625" max="7625" width="1.7109375" style="121" customWidth="1"/>
    <col min="7626" max="7839" width="9.140625" style="121"/>
    <col min="7840" max="7840" width="48.85546875" style="121" customWidth="1"/>
    <col min="7841" max="7863" width="12.7109375" style="121" customWidth="1"/>
    <col min="7864" max="7864" width="11.7109375" style="121" customWidth="1"/>
    <col min="7865" max="7867" width="12.7109375" style="121" customWidth="1"/>
    <col min="7868" max="7868" width="11.7109375" style="121" customWidth="1"/>
    <col min="7869" max="7871" width="12.7109375" style="121" customWidth="1"/>
    <col min="7872" max="7872" width="11.7109375" style="121" customWidth="1"/>
    <col min="7873" max="7875" width="12.7109375" style="121" customWidth="1"/>
    <col min="7876" max="7876" width="11.7109375" style="121" customWidth="1"/>
    <col min="7877" max="7879" width="12.7109375" style="121" customWidth="1"/>
    <col min="7880" max="7880" width="11.7109375" style="121" customWidth="1"/>
    <col min="7881" max="7881" width="1.7109375" style="121" customWidth="1"/>
    <col min="7882" max="8095" width="9.140625" style="121"/>
    <col min="8096" max="8096" width="48.85546875" style="121" customWidth="1"/>
    <col min="8097" max="8119" width="12.7109375" style="121" customWidth="1"/>
    <col min="8120" max="8120" width="11.7109375" style="121" customWidth="1"/>
    <col min="8121" max="8123" width="12.7109375" style="121" customWidth="1"/>
    <col min="8124" max="8124" width="11.7109375" style="121" customWidth="1"/>
    <col min="8125" max="8127" width="12.7109375" style="121" customWidth="1"/>
    <col min="8128" max="8128" width="11.7109375" style="121" customWidth="1"/>
    <col min="8129" max="8131" width="12.7109375" style="121" customWidth="1"/>
    <col min="8132" max="8132" width="11.7109375" style="121" customWidth="1"/>
    <col min="8133" max="8135" width="12.7109375" style="121" customWidth="1"/>
    <col min="8136" max="8136" width="11.7109375" style="121" customWidth="1"/>
    <col min="8137" max="8137" width="1.7109375" style="121" customWidth="1"/>
    <col min="8138" max="8351" width="9.140625" style="121"/>
    <col min="8352" max="8352" width="48.85546875" style="121" customWidth="1"/>
    <col min="8353" max="8375" width="12.7109375" style="121" customWidth="1"/>
    <col min="8376" max="8376" width="11.7109375" style="121" customWidth="1"/>
    <col min="8377" max="8379" width="12.7109375" style="121" customWidth="1"/>
    <col min="8380" max="8380" width="11.7109375" style="121" customWidth="1"/>
    <col min="8381" max="8383" width="12.7109375" style="121" customWidth="1"/>
    <col min="8384" max="8384" width="11.7109375" style="121" customWidth="1"/>
    <col min="8385" max="8387" width="12.7109375" style="121" customWidth="1"/>
    <col min="8388" max="8388" width="11.7109375" style="121" customWidth="1"/>
    <col min="8389" max="8391" width="12.7109375" style="121" customWidth="1"/>
    <col min="8392" max="8392" width="11.7109375" style="121" customWidth="1"/>
    <col min="8393" max="8393" width="1.7109375" style="121" customWidth="1"/>
    <col min="8394" max="8607" width="9.140625" style="121"/>
    <col min="8608" max="8608" width="48.85546875" style="121" customWidth="1"/>
    <col min="8609" max="8631" width="12.7109375" style="121" customWidth="1"/>
    <col min="8632" max="8632" width="11.7109375" style="121" customWidth="1"/>
    <col min="8633" max="8635" width="12.7109375" style="121" customWidth="1"/>
    <col min="8636" max="8636" width="11.7109375" style="121" customWidth="1"/>
    <col min="8637" max="8639" width="12.7109375" style="121" customWidth="1"/>
    <col min="8640" max="8640" width="11.7109375" style="121" customWidth="1"/>
    <col min="8641" max="8643" width="12.7109375" style="121" customWidth="1"/>
    <col min="8644" max="8644" width="11.7109375" style="121" customWidth="1"/>
    <col min="8645" max="8647" width="12.7109375" style="121" customWidth="1"/>
    <col min="8648" max="8648" width="11.7109375" style="121" customWidth="1"/>
    <col min="8649" max="8649" width="1.7109375" style="121" customWidth="1"/>
    <col min="8650" max="8863" width="9.140625" style="121"/>
    <col min="8864" max="8864" width="48.85546875" style="121" customWidth="1"/>
    <col min="8865" max="8887" width="12.7109375" style="121" customWidth="1"/>
    <col min="8888" max="8888" width="11.7109375" style="121" customWidth="1"/>
    <col min="8889" max="8891" width="12.7109375" style="121" customWidth="1"/>
    <col min="8892" max="8892" width="11.7109375" style="121" customWidth="1"/>
    <col min="8893" max="8895" width="12.7109375" style="121" customWidth="1"/>
    <col min="8896" max="8896" width="11.7109375" style="121" customWidth="1"/>
    <col min="8897" max="8899" width="12.7109375" style="121" customWidth="1"/>
    <col min="8900" max="8900" width="11.7109375" style="121" customWidth="1"/>
    <col min="8901" max="8903" width="12.7109375" style="121" customWidth="1"/>
    <col min="8904" max="8904" width="11.7109375" style="121" customWidth="1"/>
    <col min="8905" max="8905" width="1.7109375" style="121" customWidth="1"/>
    <col min="8906" max="9119" width="9.140625" style="121"/>
    <col min="9120" max="9120" width="48.85546875" style="121" customWidth="1"/>
    <col min="9121" max="9143" width="12.7109375" style="121" customWidth="1"/>
    <col min="9144" max="9144" width="11.7109375" style="121" customWidth="1"/>
    <col min="9145" max="9147" width="12.7109375" style="121" customWidth="1"/>
    <col min="9148" max="9148" width="11.7109375" style="121" customWidth="1"/>
    <col min="9149" max="9151" width="12.7109375" style="121" customWidth="1"/>
    <col min="9152" max="9152" width="11.7109375" style="121" customWidth="1"/>
    <col min="9153" max="9155" width="12.7109375" style="121" customWidth="1"/>
    <col min="9156" max="9156" width="11.7109375" style="121" customWidth="1"/>
    <col min="9157" max="9159" width="12.7109375" style="121" customWidth="1"/>
    <col min="9160" max="9160" width="11.7109375" style="121" customWidth="1"/>
    <col min="9161" max="9161" width="1.7109375" style="121" customWidth="1"/>
    <col min="9162" max="9375" width="9.140625" style="121"/>
    <col min="9376" max="9376" width="48.85546875" style="121" customWidth="1"/>
    <col min="9377" max="9399" width="12.7109375" style="121" customWidth="1"/>
    <col min="9400" max="9400" width="11.7109375" style="121" customWidth="1"/>
    <col min="9401" max="9403" width="12.7109375" style="121" customWidth="1"/>
    <col min="9404" max="9404" width="11.7109375" style="121" customWidth="1"/>
    <col min="9405" max="9407" width="12.7109375" style="121" customWidth="1"/>
    <col min="9408" max="9408" width="11.7109375" style="121" customWidth="1"/>
    <col min="9409" max="9411" width="12.7109375" style="121" customWidth="1"/>
    <col min="9412" max="9412" width="11.7109375" style="121" customWidth="1"/>
    <col min="9413" max="9415" width="12.7109375" style="121" customWidth="1"/>
    <col min="9416" max="9416" width="11.7109375" style="121" customWidth="1"/>
    <col min="9417" max="9417" width="1.7109375" style="121" customWidth="1"/>
    <col min="9418" max="9631" width="9.140625" style="121"/>
    <col min="9632" max="9632" width="48.85546875" style="121" customWidth="1"/>
    <col min="9633" max="9655" width="12.7109375" style="121" customWidth="1"/>
    <col min="9656" max="9656" width="11.7109375" style="121" customWidth="1"/>
    <col min="9657" max="9659" width="12.7109375" style="121" customWidth="1"/>
    <col min="9660" max="9660" width="11.7109375" style="121" customWidth="1"/>
    <col min="9661" max="9663" width="12.7109375" style="121" customWidth="1"/>
    <col min="9664" max="9664" width="11.7109375" style="121" customWidth="1"/>
    <col min="9665" max="9667" width="12.7109375" style="121" customWidth="1"/>
    <col min="9668" max="9668" width="11.7109375" style="121" customWidth="1"/>
    <col min="9669" max="9671" width="12.7109375" style="121" customWidth="1"/>
    <col min="9672" max="9672" width="11.7109375" style="121" customWidth="1"/>
    <col min="9673" max="9673" width="1.7109375" style="121" customWidth="1"/>
    <col min="9674" max="9887" width="9.140625" style="121"/>
    <col min="9888" max="9888" width="48.85546875" style="121" customWidth="1"/>
    <col min="9889" max="9911" width="12.7109375" style="121" customWidth="1"/>
    <col min="9912" max="9912" width="11.7109375" style="121" customWidth="1"/>
    <col min="9913" max="9915" width="12.7109375" style="121" customWidth="1"/>
    <col min="9916" max="9916" width="11.7109375" style="121" customWidth="1"/>
    <col min="9917" max="9919" width="12.7109375" style="121" customWidth="1"/>
    <col min="9920" max="9920" width="11.7109375" style="121" customWidth="1"/>
    <col min="9921" max="9923" width="12.7109375" style="121" customWidth="1"/>
    <col min="9924" max="9924" width="11.7109375" style="121" customWidth="1"/>
    <col min="9925" max="9927" width="12.7109375" style="121" customWidth="1"/>
    <col min="9928" max="9928" width="11.7109375" style="121" customWidth="1"/>
    <col min="9929" max="9929" width="1.7109375" style="121" customWidth="1"/>
    <col min="9930" max="10143" width="9.140625" style="121"/>
    <col min="10144" max="10144" width="48.85546875" style="121" customWidth="1"/>
    <col min="10145" max="10167" width="12.7109375" style="121" customWidth="1"/>
    <col min="10168" max="10168" width="11.7109375" style="121" customWidth="1"/>
    <col min="10169" max="10171" width="12.7109375" style="121" customWidth="1"/>
    <col min="10172" max="10172" width="11.7109375" style="121" customWidth="1"/>
    <col min="10173" max="10175" width="12.7109375" style="121" customWidth="1"/>
    <col min="10176" max="10176" width="11.7109375" style="121" customWidth="1"/>
    <col min="10177" max="10179" width="12.7109375" style="121" customWidth="1"/>
    <col min="10180" max="10180" width="11.7109375" style="121" customWidth="1"/>
    <col min="10181" max="10183" width="12.7109375" style="121" customWidth="1"/>
    <col min="10184" max="10184" width="11.7109375" style="121" customWidth="1"/>
    <col min="10185" max="10185" width="1.7109375" style="121" customWidth="1"/>
    <col min="10186" max="10399" width="9.140625" style="121"/>
    <col min="10400" max="10400" width="48.85546875" style="121" customWidth="1"/>
    <col min="10401" max="10423" width="12.7109375" style="121" customWidth="1"/>
    <col min="10424" max="10424" width="11.7109375" style="121" customWidth="1"/>
    <col min="10425" max="10427" width="12.7109375" style="121" customWidth="1"/>
    <col min="10428" max="10428" width="11.7109375" style="121" customWidth="1"/>
    <col min="10429" max="10431" width="12.7109375" style="121" customWidth="1"/>
    <col min="10432" max="10432" width="11.7109375" style="121" customWidth="1"/>
    <col min="10433" max="10435" width="12.7109375" style="121" customWidth="1"/>
    <col min="10436" max="10436" width="11.7109375" style="121" customWidth="1"/>
    <col min="10437" max="10439" width="12.7109375" style="121" customWidth="1"/>
    <col min="10440" max="10440" width="11.7109375" style="121" customWidth="1"/>
    <col min="10441" max="10441" width="1.7109375" style="121" customWidth="1"/>
    <col min="10442" max="10655" width="9.140625" style="121"/>
    <col min="10656" max="10656" width="48.85546875" style="121" customWidth="1"/>
    <col min="10657" max="10679" width="12.7109375" style="121" customWidth="1"/>
    <col min="10680" max="10680" width="11.7109375" style="121" customWidth="1"/>
    <col min="10681" max="10683" width="12.7109375" style="121" customWidth="1"/>
    <col min="10684" max="10684" width="11.7109375" style="121" customWidth="1"/>
    <col min="10685" max="10687" width="12.7109375" style="121" customWidth="1"/>
    <col min="10688" max="10688" width="11.7109375" style="121" customWidth="1"/>
    <col min="10689" max="10691" width="12.7109375" style="121" customWidth="1"/>
    <col min="10692" max="10692" width="11.7109375" style="121" customWidth="1"/>
    <col min="10693" max="10695" width="12.7109375" style="121" customWidth="1"/>
    <col min="10696" max="10696" width="11.7109375" style="121" customWidth="1"/>
    <col min="10697" max="10697" width="1.7109375" style="121" customWidth="1"/>
    <col min="10698" max="10911" width="9.140625" style="121"/>
    <col min="10912" max="10912" width="48.85546875" style="121" customWidth="1"/>
    <col min="10913" max="10935" width="12.7109375" style="121" customWidth="1"/>
    <col min="10936" max="10936" width="11.7109375" style="121" customWidth="1"/>
    <col min="10937" max="10939" width="12.7109375" style="121" customWidth="1"/>
    <col min="10940" max="10940" width="11.7109375" style="121" customWidth="1"/>
    <col min="10941" max="10943" width="12.7109375" style="121" customWidth="1"/>
    <col min="10944" max="10944" width="11.7109375" style="121" customWidth="1"/>
    <col min="10945" max="10947" width="12.7109375" style="121" customWidth="1"/>
    <col min="10948" max="10948" width="11.7109375" style="121" customWidth="1"/>
    <col min="10949" max="10951" width="12.7109375" style="121" customWidth="1"/>
    <col min="10952" max="10952" width="11.7109375" style="121" customWidth="1"/>
    <col min="10953" max="10953" width="1.7109375" style="121" customWidth="1"/>
    <col min="10954" max="11167" width="9.140625" style="121"/>
    <col min="11168" max="11168" width="48.85546875" style="121" customWidth="1"/>
    <col min="11169" max="11191" width="12.7109375" style="121" customWidth="1"/>
    <col min="11192" max="11192" width="11.7109375" style="121" customWidth="1"/>
    <col min="11193" max="11195" width="12.7109375" style="121" customWidth="1"/>
    <col min="11196" max="11196" width="11.7109375" style="121" customWidth="1"/>
    <col min="11197" max="11199" width="12.7109375" style="121" customWidth="1"/>
    <col min="11200" max="11200" width="11.7109375" style="121" customWidth="1"/>
    <col min="11201" max="11203" width="12.7109375" style="121" customWidth="1"/>
    <col min="11204" max="11204" width="11.7109375" style="121" customWidth="1"/>
    <col min="11205" max="11207" width="12.7109375" style="121" customWidth="1"/>
    <col min="11208" max="11208" width="11.7109375" style="121" customWidth="1"/>
    <col min="11209" max="11209" width="1.7109375" style="121" customWidth="1"/>
    <col min="11210" max="11423" width="9.140625" style="121"/>
    <col min="11424" max="11424" width="48.85546875" style="121" customWidth="1"/>
    <col min="11425" max="11447" width="12.7109375" style="121" customWidth="1"/>
    <col min="11448" max="11448" width="11.7109375" style="121" customWidth="1"/>
    <col min="11449" max="11451" width="12.7109375" style="121" customWidth="1"/>
    <col min="11452" max="11452" width="11.7109375" style="121" customWidth="1"/>
    <col min="11453" max="11455" width="12.7109375" style="121" customWidth="1"/>
    <col min="11456" max="11456" width="11.7109375" style="121" customWidth="1"/>
    <col min="11457" max="11459" width="12.7109375" style="121" customWidth="1"/>
    <col min="11460" max="11460" width="11.7109375" style="121" customWidth="1"/>
    <col min="11461" max="11463" width="12.7109375" style="121" customWidth="1"/>
    <col min="11464" max="11464" width="11.7109375" style="121" customWidth="1"/>
    <col min="11465" max="11465" width="1.7109375" style="121" customWidth="1"/>
    <col min="11466" max="11679" width="9.140625" style="121"/>
    <col min="11680" max="11680" width="48.85546875" style="121" customWidth="1"/>
    <col min="11681" max="11703" width="12.7109375" style="121" customWidth="1"/>
    <col min="11704" max="11704" width="11.7109375" style="121" customWidth="1"/>
    <col min="11705" max="11707" width="12.7109375" style="121" customWidth="1"/>
    <col min="11708" max="11708" width="11.7109375" style="121" customWidth="1"/>
    <col min="11709" max="11711" width="12.7109375" style="121" customWidth="1"/>
    <col min="11712" max="11712" width="11.7109375" style="121" customWidth="1"/>
    <col min="11713" max="11715" width="12.7109375" style="121" customWidth="1"/>
    <col min="11716" max="11716" width="11.7109375" style="121" customWidth="1"/>
    <col min="11717" max="11719" width="12.7109375" style="121" customWidth="1"/>
    <col min="11720" max="11720" width="11.7109375" style="121" customWidth="1"/>
    <col min="11721" max="11721" width="1.7109375" style="121" customWidth="1"/>
    <col min="11722" max="11935" width="9.140625" style="121"/>
    <col min="11936" max="11936" width="48.85546875" style="121" customWidth="1"/>
    <col min="11937" max="11959" width="12.7109375" style="121" customWidth="1"/>
    <col min="11960" max="11960" width="11.7109375" style="121" customWidth="1"/>
    <col min="11961" max="11963" width="12.7109375" style="121" customWidth="1"/>
    <col min="11964" max="11964" width="11.7109375" style="121" customWidth="1"/>
    <col min="11965" max="11967" width="12.7109375" style="121" customWidth="1"/>
    <col min="11968" max="11968" width="11.7109375" style="121" customWidth="1"/>
    <col min="11969" max="11971" width="12.7109375" style="121" customWidth="1"/>
    <col min="11972" max="11972" width="11.7109375" style="121" customWidth="1"/>
    <col min="11973" max="11975" width="12.7109375" style="121" customWidth="1"/>
    <col min="11976" max="11976" width="11.7109375" style="121" customWidth="1"/>
    <col min="11977" max="11977" width="1.7109375" style="121" customWidth="1"/>
    <col min="11978" max="12191" width="9.140625" style="121"/>
    <col min="12192" max="12192" width="48.85546875" style="121" customWidth="1"/>
    <col min="12193" max="12215" width="12.7109375" style="121" customWidth="1"/>
    <col min="12216" max="12216" width="11.7109375" style="121" customWidth="1"/>
    <col min="12217" max="12219" width="12.7109375" style="121" customWidth="1"/>
    <col min="12220" max="12220" width="11.7109375" style="121" customWidth="1"/>
    <col min="12221" max="12223" width="12.7109375" style="121" customWidth="1"/>
    <col min="12224" max="12224" width="11.7109375" style="121" customWidth="1"/>
    <col min="12225" max="12227" width="12.7109375" style="121" customWidth="1"/>
    <col min="12228" max="12228" width="11.7109375" style="121" customWidth="1"/>
    <col min="12229" max="12231" width="12.7109375" style="121" customWidth="1"/>
    <col min="12232" max="12232" width="11.7109375" style="121" customWidth="1"/>
    <col min="12233" max="12233" width="1.7109375" style="121" customWidth="1"/>
    <col min="12234" max="12447" width="9.140625" style="121"/>
    <col min="12448" max="12448" width="48.85546875" style="121" customWidth="1"/>
    <col min="12449" max="12471" width="12.7109375" style="121" customWidth="1"/>
    <col min="12472" max="12472" width="11.7109375" style="121" customWidth="1"/>
    <col min="12473" max="12475" width="12.7109375" style="121" customWidth="1"/>
    <col min="12476" max="12476" width="11.7109375" style="121" customWidth="1"/>
    <col min="12477" max="12479" width="12.7109375" style="121" customWidth="1"/>
    <col min="12480" max="12480" width="11.7109375" style="121" customWidth="1"/>
    <col min="12481" max="12483" width="12.7109375" style="121" customWidth="1"/>
    <col min="12484" max="12484" width="11.7109375" style="121" customWidth="1"/>
    <col min="12485" max="12487" width="12.7109375" style="121" customWidth="1"/>
    <col min="12488" max="12488" width="11.7109375" style="121" customWidth="1"/>
    <col min="12489" max="12489" width="1.7109375" style="121" customWidth="1"/>
    <col min="12490" max="12703" width="9.140625" style="121"/>
    <col min="12704" max="12704" width="48.85546875" style="121" customWidth="1"/>
    <col min="12705" max="12727" width="12.7109375" style="121" customWidth="1"/>
    <col min="12728" max="12728" width="11.7109375" style="121" customWidth="1"/>
    <col min="12729" max="12731" width="12.7109375" style="121" customWidth="1"/>
    <col min="12732" max="12732" width="11.7109375" style="121" customWidth="1"/>
    <col min="12733" max="12735" width="12.7109375" style="121" customWidth="1"/>
    <col min="12736" max="12736" width="11.7109375" style="121" customWidth="1"/>
    <col min="12737" max="12739" width="12.7109375" style="121" customWidth="1"/>
    <col min="12740" max="12740" width="11.7109375" style="121" customWidth="1"/>
    <col min="12741" max="12743" width="12.7109375" style="121" customWidth="1"/>
    <col min="12744" max="12744" width="11.7109375" style="121" customWidth="1"/>
    <col min="12745" max="12745" width="1.7109375" style="121" customWidth="1"/>
    <col min="12746" max="12959" width="9.140625" style="121"/>
    <col min="12960" max="12960" width="48.85546875" style="121" customWidth="1"/>
    <col min="12961" max="12983" width="12.7109375" style="121" customWidth="1"/>
    <col min="12984" max="12984" width="11.7109375" style="121" customWidth="1"/>
    <col min="12985" max="12987" width="12.7109375" style="121" customWidth="1"/>
    <col min="12988" max="12988" width="11.7109375" style="121" customWidth="1"/>
    <col min="12989" max="12991" width="12.7109375" style="121" customWidth="1"/>
    <col min="12992" max="12992" width="11.7109375" style="121" customWidth="1"/>
    <col min="12993" max="12995" width="12.7109375" style="121" customWidth="1"/>
    <col min="12996" max="12996" width="11.7109375" style="121" customWidth="1"/>
    <col min="12997" max="12999" width="12.7109375" style="121" customWidth="1"/>
    <col min="13000" max="13000" width="11.7109375" style="121" customWidth="1"/>
    <col min="13001" max="13001" width="1.7109375" style="121" customWidth="1"/>
    <col min="13002" max="13215" width="9.140625" style="121"/>
    <col min="13216" max="13216" width="48.85546875" style="121" customWidth="1"/>
    <col min="13217" max="13239" width="12.7109375" style="121" customWidth="1"/>
    <col min="13240" max="13240" width="11.7109375" style="121" customWidth="1"/>
    <col min="13241" max="13243" width="12.7109375" style="121" customWidth="1"/>
    <col min="13244" max="13244" width="11.7109375" style="121" customWidth="1"/>
    <col min="13245" max="13247" width="12.7109375" style="121" customWidth="1"/>
    <col min="13248" max="13248" width="11.7109375" style="121" customWidth="1"/>
    <col min="13249" max="13251" width="12.7109375" style="121" customWidth="1"/>
    <col min="13252" max="13252" width="11.7109375" style="121" customWidth="1"/>
    <col min="13253" max="13255" width="12.7109375" style="121" customWidth="1"/>
    <col min="13256" max="13256" width="11.7109375" style="121" customWidth="1"/>
    <col min="13257" max="13257" width="1.7109375" style="121" customWidth="1"/>
    <col min="13258" max="13471" width="9.140625" style="121"/>
    <col min="13472" max="13472" width="48.85546875" style="121" customWidth="1"/>
    <col min="13473" max="13495" width="12.7109375" style="121" customWidth="1"/>
    <col min="13496" max="13496" width="11.7109375" style="121" customWidth="1"/>
    <col min="13497" max="13499" width="12.7109375" style="121" customWidth="1"/>
    <col min="13500" max="13500" width="11.7109375" style="121" customWidth="1"/>
    <col min="13501" max="13503" width="12.7109375" style="121" customWidth="1"/>
    <col min="13504" max="13504" width="11.7109375" style="121" customWidth="1"/>
    <col min="13505" max="13507" width="12.7109375" style="121" customWidth="1"/>
    <col min="13508" max="13508" width="11.7109375" style="121" customWidth="1"/>
    <col min="13509" max="13511" width="12.7109375" style="121" customWidth="1"/>
    <col min="13512" max="13512" width="11.7109375" style="121" customWidth="1"/>
    <col min="13513" max="13513" width="1.7109375" style="121" customWidth="1"/>
    <col min="13514" max="13727" width="9.140625" style="121"/>
    <col min="13728" max="13728" width="48.85546875" style="121" customWidth="1"/>
    <col min="13729" max="13751" width="12.7109375" style="121" customWidth="1"/>
    <col min="13752" max="13752" width="11.7109375" style="121" customWidth="1"/>
    <col min="13753" max="13755" width="12.7109375" style="121" customWidth="1"/>
    <col min="13756" max="13756" width="11.7109375" style="121" customWidth="1"/>
    <col min="13757" max="13759" width="12.7109375" style="121" customWidth="1"/>
    <col min="13760" max="13760" width="11.7109375" style="121" customWidth="1"/>
    <col min="13761" max="13763" width="12.7109375" style="121" customWidth="1"/>
    <col min="13764" max="13764" width="11.7109375" style="121" customWidth="1"/>
    <col min="13765" max="13767" width="12.7109375" style="121" customWidth="1"/>
    <col min="13768" max="13768" width="11.7109375" style="121" customWidth="1"/>
    <col min="13769" max="13769" width="1.7109375" style="121" customWidth="1"/>
    <col min="13770" max="13983" width="9.140625" style="121"/>
    <col min="13984" max="13984" width="48.85546875" style="121" customWidth="1"/>
    <col min="13985" max="14007" width="12.7109375" style="121" customWidth="1"/>
    <col min="14008" max="14008" width="11.7109375" style="121" customWidth="1"/>
    <col min="14009" max="14011" width="12.7109375" style="121" customWidth="1"/>
    <col min="14012" max="14012" width="11.7109375" style="121" customWidth="1"/>
    <col min="14013" max="14015" width="12.7109375" style="121" customWidth="1"/>
    <col min="14016" max="14016" width="11.7109375" style="121" customWidth="1"/>
    <col min="14017" max="14019" width="12.7109375" style="121" customWidth="1"/>
    <col min="14020" max="14020" width="11.7109375" style="121" customWidth="1"/>
    <col min="14021" max="14023" width="12.7109375" style="121" customWidth="1"/>
    <col min="14024" max="14024" width="11.7109375" style="121" customWidth="1"/>
    <col min="14025" max="14025" width="1.7109375" style="121" customWidth="1"/>
    <col min="14026" max="14239" width="9.140625" style="121"/>
    <col min="14240" max="14240" width="48.85546875" style="121" customWidth="1"/>
    <col min="14241" max="14263" width="12.7109375" style="121" customWidth="1"/>
    <col min="14264" max="14264" width="11.7109375" style="121" customWidth="1"/>
    <col min="14265" max="14267" width="12.7109375" style="121" customWidth="1"/>
    <col min="14268" max="14268" width="11.7109375" style="121" customWidth="1"/>
    <col min="14269" max="14271" width="12.7109375" style="121" customWidth="1"/>
    <col min="14272" max="14272" width="11.7109375" style="121" customWidth="1"/>
    <col min="14273" max="14275" width="12.7109375" style="121" customWidth="1"/>
    <col min="14276" max="14276" width="11.7109375" style="121" customWidth="1"/>
    <col min="14277" max="14279" width="12.7109375" style="121" customWidth="1"/>
    <col min="14280" max="14280" width="11.7109375" style="121" customWidth="1"/>
    <col min="14281" max="14281" width="1.7109375" style="121" customWidth="1"/>
    <col min="14282" max="14495" width="9.140625" style="121"/>
    <col min="14496" max="14496" width="48.85546875" style="121" customWidth="1"/>
    <col min="14497" max="14519" width="12.7109375" style="121" customWidth="1"/>
    <col min="14520" max="14520" width="11.7109375" style="121" customWidth="1"/>
    <col min="14521" max="14523" width="12.7109375" style="121" customWidth="1"/>
    <col min="14524" max="14524" width="11.7109375" style="121" customWidth="1"/>
    <col min="14525" max="14527" width="12.7109375" style="121" customWidth="1"/>
    <col min="14528" max="14528" width="11.7109375" style="121" customWidth="1"/>
    <col min="14529" max="14531" width="12.7109375" style="121" customWidth="1"/>
    <col min="14532" max="14532" width="11.7109375" style="121" customWidth="1"/>
    <col min="14533" max="14535" width="12.7109375" style="121" customWidth="1"/>
    <col min="14536" max="14536" width="11.7109375" style="121" customWidth="1"/>
    <col min="14537" max="14537" width="1.7109375" style="121" customWidth="1"/>
    <col min="14538" max="14751" width="9.140625" style="121"/>
    <col min="14752" max="14752" width="48.85546875" style="121" customWidth="1"/>
    <col min="14753" max="14775" width="12.7109375" style="121" customWidth="1"/>
    <col min="14776" max="14776" width="11.7109375" style="121" customWidth="1"/>
    <col min="14777" max="14779" width="12.7109375" style="121" customWidth="1"/>
    <col min="14780" max="14780" width="11.7109375" style="121" customWidth="1"/>
    <col min="14781" max="14783" width="12.7109375" style="121" customWidth="1"/>
    <col min="14784" max="14784" width="11.7109375" style="121" customWidth="1"/>
    <col min="14785" max="14787" width="12.7109375" style="121" customWidth="1"/>
    <col min="14788" max="14788" width="11.7109375" style="121" customWidth="1"/>
    <col min="14789" max="14791" width="12.7109375" style="121" customWidth="1"/>
    <col min="14792" max="14792" width="11.7109375" style="121" customWidth="1"/>
    <col min="14793" max="14793" width="1.7109375" style="121" customWidth="1"/>
    <col min="14794" max="15007" width="9.140625" style="121"/>
    <col min="15008" max="15008" width="48.85546875" style="121" customWidth="1"/>
    <col min="15009" max="15031" width="12.7109375" style="121" customWidth="1"/>
    <col min="15032" max="15032" width="11.7109375" style="121" customWidth="1"/>
    <col min="15033" max="15035" width="12.7109375" style="121" customWidth="1"/>
    <col min="15036" max="15036" width="11.7109375" style="121" customWidth="1"/>
    <col min="15037" max="15039" width="12.7109375" style="121" customWidth="1"/>
    <col min="15040" max="15040" width="11.7109375" style="121" customWidth="1"/>
    <col min="15041" max="15043" width="12.7109375" style="121" customWidth="1"/>
    <col min="15044" max="15044" width="11.7109375" style="121" customWidth="1"/>
    <col min="15045" max="15047" width="12.7109375" style="121" customWidth="1"/>
    <col min="15048" max="15048" width="11.7109375" style="121" customWidth="1"/>
    <col min="15049" max="15049" width="1.7109375" style="121" customWidth="1"/>
    <col min="15050" max="15263" width="9.140625" style="121"/>
    <col min="15264" max="15264" width="48.85546875" style="121" customWidth="1"/>
    <col min="15265" max="15287" width="12.7109375" style="121" customWidth="1"/>
    <col min="15288" max="15288" width="11.7109375" style="121" customWidth="1"/>
    <col min="15289" max="15291" width="12.7109375" style="121" customWidth="1"/>
    <col min="15292" max="15292" width="11.7109375" style="121" customWidth="1"/>
    <col min="15293" max="15295" width="12.7109375" style="121" customWidth="1"/>
    <col min="15296" max="15296" width="11.7109375" style="121" customWidth="1"/>
    <col min="15297" max="15299" width="12.7109375" style="121" customWidth="1"/>
    <col min="15300" max="15300" width="11.7109375" style="121" customWidth="1"/>
    <col min="15301" max="15303" width="12.7109375" style="121" customWidth="1"/>
    <col min="15304" max="15304" width="11.7109375" style="121" customWidth="1"/>
    <col min="15305" max="15305" width="1.7109375" style="121" customWidth="1"/>
    <col min="15306" max="15519" width="9.140625" style="121"/>
    <col min="15520" max="15520" width="48.85546875" style="121" customWidth="1"/>
    <col min="15521" max="15543" width="12.7109375" style="121" customWidth="1"/>
    <col min="15544" max="15544" width="11.7109375" style="121" customWidth="1"/>
    <col min="15545" max="15547" width="12.7109375" style="121" customWidth="1"/>
    <col min="15548" max="15548" width="11.7109375" style="121" customWidth="1"/>
    <col min="15549" max="15551" width="12.7109375" style="121" customWidth="1"/>
    <col min="15552" max="15552" width="11.7109375" style="121" customWidth="1"/>
    <col min="15553" max="15555" width="12.7109375" style="121" customWidth="1"/>
    <col min="15556" max="15556" width="11.7109375" style="121" customWidth="1"/>
    <col min="15557" max="15559" width="12.7109375" style="121" customWidth="1"/>
    <col min="15560" max="15560" width="11.7109375" style="121" customWidth="1"/>
    <col min="15561" max="15561" width="1.7109375" style="121" customWidth="1"/>
    <col min="15562" max="15775" width="9.140625" style="121"/>
    <col min="15776" max="15776" width="48.85546875" style="121" customWidth="1"/>
    <col min="15777" max="15799" width="12.7109375" style="121" customWidth="1"/>
    <col min="15800" max="15800" width="11.7109375" style="121" customWidth="1"/>
    <col min="15801" max="15803" width="12.7109375" style="121" customWidth="1"/>
    <col min="15804" max="15804" width="11.7109375" style="121" customWidth="1"/>
    <col min="15805" max="15807" width="12.7109375" style="121" customWidth="1"/>
    <col min="15808" max="15808" width="11.7109375" style="121" customWidth="1"/>
    <col min="15809" max="15811" width="12.7109375" style="121" customWidth="1"/>
    <col min="15812" max="15812" width="11.7109375" style="121" customWidth="1"/>
    <col min="15813" max="15815" width="12.7109375" style="121" customWidth="1"/>
    <col min="15816" max="15816" width="11.7109375" style="121" customWidth="1"/>
    <col min="15817" max="15817" width="1.7109375" style="121" customWidth="1"/>
    <col min="15818" max="16031" width="9.140625" style="121"/>
    <col min="16032" max="16032" width="48.85546875" style="121" customWidth="1"/>
    <col min="16033" max="16055" width="12.7109375" style="121" customWidth="1"/>
    <col min="16056" max="16056" width="11.7109375" style="121" customWidth="1"/>
    <col min="16057" max="16059" width="12.7109375" style="121" customWidth="1"/>
    <col min="16060" max="16060" width="11.7109375" style="121" customWidth="1"/>
    <col min="16061" max="16063" width="12.7109375" style="121" customWidth="1"/>
    <col min="16064" max="16064" width="11.7109375" style="121" customWidth="1"/>
    <col min="16065" max="16067" width="12.7109375" style="121" customWidth="1"/>
    <col min="16068" max="16068" width="11.7109375" style="121" customWidth="1"/>
    <col min="16069" max="16071" width="12.7109375" style="121" customWidth="1"/>
    <col min="16072" max="16072" width="11.7109375" style="121" customWidth="1"/>
    <col min="16073" max="16073" width="1.7109375" style="121" customWidth="1"/>
    <col min="16074" max="16384" width="9.140625" style="121"/>
  </cols>
  <sheetData>
    <row r="1" spans="1:40" x14ac:dyDescent="0.2">
      <c r="A1" s="177" t="s">
        <v>0</v>
      </c>
      <c r="B1" s="179"/>
      <c r="C1" s="179"/>
      <c r="D1" s="179"/>
      <c r="E1" s="179"/>
      <c r="F1" s="179"/>
      <c r="G1" s="179"/>
      <c r="H1" s="179"/>
      <c r="I1" s="180"/>
      <c r="J1" s="179"/>
      <c r="K1" s="179"/>
      <c r="L1" s="179"/>
      <c r="M1" s="180"/>
      <c r="N1" s="181"/>
      <c r="O1" s="178"/>
      <c r="P1" s="178"/>
      <c r="Q1" s="180"/>
      <c r="R1" s="178"/>
      <c r="S1" s="178"/>
      <c r="T1" s="178"/>
    </row>
    <row r="2" spans="1:40" x14ac:dyDescent="0.2">
      <c r="A2" s="183" t="s">
        <v>152</v>
      </c>
      <c r="B2" s="178"/>
      <c r="C2" s="179"/>
      <c r="D2" s="179"/>
      <c r="E2" s="179"/>
      <c r="F2" s="178"/>
      <c r="G2" s="179"/>
      <c r="H2" s="179"/>
      <c r="I2" s="180"/>
      <c r="J2" s="178"/>
      <c r="K2" s="179"/>
      <c r="L2" s="179"/>
      <c r="M2" s="180"/>
      <c r="N2" s="178"/>
      <c r="O2" s="184"/>
      <c r="P2" s="184"/>
      <c r="Q2" s="180"/>
      <c r="R2" s="178"/>
      <c r="S2" s="178"/>
      <c r="T2" s="178"/>
      <c r="U2" s="180"/>
    </row>
    <row r="3" spans="1:40" x14ac:dyDescent="0.2">
      <c r="A3" s="117" t="s">
        <v>12</v>
      </c>
      <c r="B3" s="178"/>
      <c r="C3" s="179"/>
      <c r="D3" s="179"/>
      <c r="E3" s="179"/>
      <c r="F3" s="178"/>
      <c r="G3" s="178"/>
      <c r="H3" s="179"/>
      <c r="I3" s="180"/>
      <c r="J3" s="178"/>
      <c r="K3" s="178"/>
      <c r="L3" s="179"/>
      <c r="M3" s="180"/>
      <c r="N3" s="178"/>
      <c r="O3" s="178"/>
      <c r="P3" s="187"/>
      <c r="Q3" s="188"/>
      <c r="R3" s="178"/>
      <c r="S3" s="178"/>
      <c r="T3" s="178"/>
      <c r="U3" s="180"/>
    </row>
    <row r="4" spans="1:40" ht="12.75" customHeight="1" x14ac:dyDescent="0.2">
      <c r="A4" s="177"/>
      <c r="B4" s="178"/>
      <c r="C4" s="179"/>
      <c r="D4" s="179"/>
      <c r="E4" s="179"/>
      <c r="F4" s="178"/>
      <c r="G4" s="179"/>
      <c r="H4" s="179"/>
      <c r="I4" s="180"/>
      <c r="J4" s="178"/>
      <c r="K4" s="189"/>
      <c r="L4" s="179"/>
      <c r="M4" s="180"/>
      <c r="N4" s="186"/>
      <c r="O4" s="189"/>
      <c r="P4" s="189"/>
      <c r="Q4" s="190"/>
      <c r="R4" s="186"/>
      <c r="S4" s="178"/>
      <c r="T4" s="178"/>
      <c r="U4" s="180"/>
      <c r="W4" s="1491" t="s">
        <v>74</v>
      </c>
      <c r="X4" s="1492"/>
      <c r="Y4" s="1492"/>
      <c r="Z4" s="1492"/>
      <c r="AA4" s="1492"/>
      <c r="AB4" s="1492"/>
      <c r="AC4" s="1492"/>
      <c r="AD4" s="1493"/>
      <c r="AF4" s="1497" t="s">
        <v>75</v>
      </c>
      <c r="AG4" s="1507"/>
      <c r="AH4" s="1507"/>
      <c r="AI4" s="1507"/>
      <c r="AJ4" s="1507"/>
      <c r="AK4" s="1507"/>
      <c r="AL4" s="1507"/>
      <c r="AM4" s="1507"/>
      <c r="AN4" s="1508"/>
    </row>
    <row r="5" spans="1:40" ht="12.75" customHeight="1" x14ac:dyDescent="0.2">
      <c r="A5" s="191"/>
      <c r="B5" s="192"/>
      <c r="C5" s="179"/>
      <c r="D5" s="179"/>
      <c r="E5" s="179"/>
      <c r="F5" s="193"/>
      <c r="G5" s="179"/>
      <c r="H5" s="179"/>
      <c r="I5" s="180"/>
      <c r="J5" s="193"/>
      <c r="K5" s="179"/>
      <c r="L5" s="179"/>
      <c r="M5" s="180"/>
      <c r="N5" s="178"/>
      <c r="O5" s="178"/>
      <c r="P5" s="178"/>
      <c r="Q5" s="180"/>
      <c r="R5" s="178"/>
      <c r="S5" s="178"/>
      <c r="T5" s="178"/>
      <c r="U5" s="180"/>
      <c r="W5" s="1494"/>
      <c r="X5" s="1495"/>
      <c r="Y5" s="1495"/>
      <c r="Z5" s="1495"/>
      <c r="AA5" s="1495"/>
      <c r="AB5" s="1495"/>
      <c r="AC5" s="1495"/>
      <c r="AD5" s="1496"/>
      <c r="AF5" s="1509"/>
      <c r="AG5" s="1510"/>
      <c r="AH5" s="1510"/>
      <c r="AI5" s="1510"/>
      <c r="AJ5" s="1510"/>
      <c r="AK5" s="1510"/>
      <c r="AL5" s="1510"/>
      <c r="AM5" s="1510"/>
      <c r="AN5" s="1511"/>
    </row>
    <row r="6" spans="1:40" ht="16.7" customHeight="1" x14ac:dyDescent="0.2">
      <c r="A6" s="194"/>
      <c r="B6" s="1512" t="s">
        <v>153</v>
      </c>
      <c r="C6" s="1513"/>
      <c r="D6" s="1513"/>
      <c r="E6" s="1514"/>
      <c r="F6" s="1512" t="s">
        <v>154</v>
      </c>
      <c r="G6" s="1513"/>
      <c r="H6" s="1513"/>
      <c r="I6" s="1514"/>
      <c r="J6" s="1512" t="s">
        <v>155</v>
      </c>
      <c r="K6" s="1513"/>
      <c r="L6" s="1513"/>
      <c r="M6" s="1514"/>
      <c r="N6" s="1515" t="s">
        <v>156</v>
      </c>
      <c r="O6" s="1516"/>
      <c r="P6" s="1516"/>
      <c r="Q6" s="1517"/>
      <c r="R6" s="1518" t="s">
        <v>157</v>
      </c>
      <c r="S6" s="1519"/>
      <c r="T6" s="1519"/>
      <c r="U6" s="1520"/>
      <c r="W6" s="1521" t="s">
        <v>156</v>
      </c>
      <c r="X6" s="1516"/>
      <c r="Y6" s="1516"/>
      <c r="Z6" s="1517"/>
      <c r="AA6" s="1518" t="s">
        <v>157</v>
      </c>
      <c r="AB6" s="1519"/>
      <c r="AC6" s="1519"/>
      <c r="AD6" s="1520"/>
      <c r="AF6" s="194"/>
      <c r="AG6" s="1515" t="s">
        <v>156</v>
      </c>
      <c r="AH6" s="1516"/>
      <c r="AI6" s="1516"/>
      <c r="AJ6" s="1517"/>
      <c r="AK6" s="1518" t="s">
        <v>157</v>
      </c>
      <c r="AL6" s="1519"/>
      <c r="AM6" s="1519"/>
      <c r="AN6" s="1520"/>
    </row>
    <row r="7" spans="1:40" ht="13.5" customHeight="1" thickBot="1" x14ac:dyDescent="0.25">
      <c r="A7" s="195"/>
      <c r="B7" s="196" t="s">
        <v>158</v>
      </c>
      <c r="C7" s="197" t="s">
        <v>159</v>
      </c>
      <c r="D7" s="197" t="s">
        <v>160</v>
      </c>
      <c r="E7" s="198" t="s">
        <v>161</v>
      </c>
      <c r="F7" s="196" t="s">
        <v>158</v>
      </c>
      <c r="G7" s="197" t="s">
        <v>159</v>
      </c>
      <c r="H7" s="197" t="s">
        <v>160</v>
      </c>
      <c r="I7" s="198" t="s">
        <v>161</v>
      </c>
      <c r="J7" s="196" t="s">
        <v>158</v>
      </c>
      <c r="K7" s="197" t="s">
        <v>159</v>
      </c>
      <c r="L7" s="197" t="s">
        <v>160</v>
      </c>
      <c r="M7" s="198" t="s">
        <v>161</v>
      </c>
      <c r="N7" s="196" t="s">
        <v>158</v>
      </c>
      <c r="O7" s="197" t="s">
        <v>159</v>
      </c>
      <c r="P7" s="197" t="s">
        <v>160</v>
      </c>
      <c r="Q7" s="198" t="s">
        <v>161</v>
      </c>
      <c r="R7" s="196" t="s">
        <v>158</v>
      </c>
      <c r="S7" s="197" t="s">
        <v>159</v>
      </c>
      <c r="T7" s="197" t="s">
        <v>160</v>
      </c>
      <c r="U7" s="198" t="s">
        <v>161</v>
      </c>
      <c r="W7" s="199" t="s">
        <v>158</v>
      </c>
      <c r="X7" s="200" t="s">
        <v>159</v>
      </c>
      <c r="Y7" s="200" t="s">
        <v>151</v>
      </c>
      <c r="Z7" s="201" t="s">
        <v>161</v>
      </c>
      <c r="AA7" s="202" t="s">
        <v>158</v>
      </c>
      <c r="AB7" s="200" t="s">
        <v>159</v>
      </c>
      <c r="AC7" s="200" t="s">
        <v>151</v>
      </c>
      <c r="AD7" s="201" t="s">
        <v>161</v>
      </c>
      <c r="AF7" s="195"/>
      <c r="AG7" s="196" t="s">
        <v>158</v>
      </c>
      <c r="AH7" s="197" t="s">
        <v>159</v>
      </c>
      <c r="AI7" s="197" t="s">
        <v>151</v>
      </c>
      <c r="AJ7" s="198" t="s">
        <v>161</v>
      </c>
      <c r="AK7" s="196" t="s">
        <v>158</v>
      </c>
      <c r="AL7" s="197" t="s">
        <v>159</v>
      </c>
      <c r="AM7" s="197" t="s">
        <v>151</v>
      </c>
      <c r="AN7" s="198" t="s">
        <v>161</v>
      </c>
    </row>
    <row r="8" spans="1:40" x14ac:dyDescent="0.2">
      <c r="A8" s="203" t="s">
        <v>162</v>
      </c>
      <c r="B8" s="95"/>
      <c r="C8" s="204"/>
      <c r="D8" s="204"/>
      <c r="E8" s="205"/>
      <c r="F8" s="95"/>
      <c r="G8" s="204"/>
      <c r="H8" s="204"/>
      <c r="I8" s="206"/>
      <c r="J8" s="207"/>
      <c r="K8" s="207"/>
      <c r="L8" s="207"/>
      <c r="M8" s="208"/>
      <c r="N8" s="95"/>
      <c r="O8" s="204"/>
      <c r="P8" s="146"/>
      <c r="Q8" s="206"/>
      <c r="R8" s="209"/>
      <c r="S8" s="146"/>
      <c r="T8" s="210"/>
      <c r="U8" s="211"/>
      <c r="W8" s="212"/>
      <c r="X8" s="213"/>
      <c r="Y8" s="213"/>
      <c r="Z8" s="213"/>
      <c r="AA8" s="213"/>
      <c r="AB8" s="213"/>
      <c r="AC8" s="213"/>
      <c r="AD8" s="214"/>
      <c r="AF8" s="203" t="s">
        <v>163</v>
      </c>
      <c r="AG8" s="95"/>
      <c r="AH8" s="204"/>
      <c r="AI8" s="146"/>
      <c r="AJ8" s="206"/>
      <c r="AK8" s="209"/>
      <c r="AL8" s="146"/>
      <c r="AM8" s="210"/>
      <c r="AN8" s="211"/>
    </row>
    <row r="9" spans="1:40" x14ac:dyDescent="0.2">
      <c r="A9" s="215" t="s">
        <v>164</v>
      </c>
      <c r="B9" s="216">
        <v>160386</v>
      </c>
      <c r="C9" s="149">
        <v>2451</v>
      </c>
      <c r="D9" s="149">
        <f t="shared" ref="D9:D14" si="0">+B9-C9</f>
        <v>157935</v>
      </c>
      <c r="E9" s="217">
        <f t="shared" ref="E9:E14" si="1">IF(B9&lt;&gt;0,C9/B9,0)</f>
        <v>1.5281882458568702E-2</v>
      </c>
      <c r="F9" s="216">
        <v>163727.4</v>
      </c>
      <c r="G9" s="149">
        <v>730</v>
      </c>
      <c r="H9" s="149">
        <f t="shared" ref="H9:H14" si="2">+F9-G9</f>
        <v>162997.4</v>
      </c>
      <c r="I9" s="218">
        <f t="shared" ref="I9:I14" si="3">IF(F9&lt;&gt;0,G9/F9,0)</f>
        <v>4.458630626272695E-3</v>
      </c>
      <c r="J9" s="216">
        <v>166809.47499999998</v>
      </c>
      <c r="K9" s="149">
        <v>52.739999999999995</v>
      </c>
      <c r="L9" s="149">
        <f t="shared" ref="L9:L14" si="4">+J9-K9</f>
        <v>166756.73499999999</v>
      </c>
      <c r="M9" s="218">
        <f t="shared" ref="M9:M14" si="5">IF(J9&lt;&gt;0,K9/J9,0)</f>
        <v>3.1616909051479243E-4</v>
      </c>
      <c r="N9" s="216">
        <v>167495.39999999994</v>
      </c>
      <c r="O9" s="149">
        <v>147.06</v>
      </c>
      <c r="P9" s="149">
        <f t="shared" ref="P9:P14" si="6">+N9-O9</f>
        <v>167348.33999999994</v>
      </c>
      <c r="Q9" s="218">
        <f t="shared" ref="Q9:Q14" si="7">IF(N9&lt;&gt;0,O9/N9,0)</f>
        <v>8.779942613349385E-4</v>
      </c>
      <c r="R9" s="216">
        <v>162683.65517241371</v>
      </c>
      <c r="S9" s="149">
        <v>6500</v>
      </c>
      <c r="T9" s="149">
        <f t="shared" ref="T9:T14" si="8">+R9-S9</f>
        <v>156183.65517241371</v>
      </c>
      <c r="U9" s="218">
        <f t="shared" ref="U9:U14" si="9">IF(R9&lt;&gt;0,S9/R9,0)</f>
        <v>3.9954843608051696E-2</v>
      </c>
      <c r="W9" s="216">
        <f t="shared" ref="W9:AD14" si="10">IFERROR(N9-AG9,"")</f>
        <v>-504.60000000006403</v>
      </c>
      <c r="X9" s="149">
        <f t="shared" si="10"/>
        <v>-2452.94</v>
      </c>
      <c r="Y9" s="149">
        <f t="shared" si="10"/>
        <v>1948.3399999999383</v>
      </c>
      <c r="Z9" s="218">
        <f t="shared" si="10"/>
        <v>-1.4598196214855539E-2</v>
      </c>
      <c r="AA9" s="216">
        <f t="shared" si="10"/>
        <v>-4672.6666666667443</v>
      </c>
      <c r="AB9" s="149">
        <f t="shared" si="10"/>
        <v>0</v>
      </c>
      <c r="AC9" s="149">
        <f t="shared" si="10"/>
        <v>-4672.6666666667443</v>
      </c>
      <c r="AD9" s="218">
        <f t="shared" si="10"/>
        <v>1.115557893765981E-3</v>
      </c>
      <c r="AF9" s="215" t="s">
        <v>164</v>
      </c>
      <c r="AG9" s="216">
        <v>168000</v>
      </c>
      <c r="AH9" s="149">
        <v>2600</v>
      </c>
      <c r="AI9" s="149">
        <v>165400</v>
      </c>
      <c r="AJ9" s="218">
        <v>1.5476190476190477E-2</v>
      </c>
      <c r="AK9" s="216">
        <v>167356.32183908045</v>
      </c>
      <c r="AL9" s="149">
        <v>6500</v>
      </c>
      <c r="AM9" s="149">
        <v>160856.32183908045</v>
      </c>
      <c r="AN9" s="218">
        <v>3.8839285714285715E-2</v>
      </c>
    </row>
    <row r="10" spans="1:40" x14ac:dyDescent="0.2">
      <c r="A10" s="215" t="s">
        <v>165</v>
      </c>
      <c r="B10" s="216">
        <v>55650</v>
      </c>
      <c r="C10" s="149">
        <v>0</v>
      </c>
      <c r="D10" s="149">
        <f t="shared" si="0"/>
        <v>55650</v>
      </c>
      <c r="E10" s="217">
        <f t="shared" si="1"/>
        <v>0</v>
      </c>
      <c r="F10" s="216">
        <v>57547.4</v>
      </c>
      <c r="G10" s="149">
        <v>0</v>
      </c>
      <c r="H10" s="149">
        <f t="shared" si="2"/>
        <v>57547.4</v>
      </c>
      <c r="I10" s="218">
        <f t="shared" si="3"/>
        <v>0</v>
      </c>
      <c r="J10" s="216">
        <v>58818.44</v>
      </c>
      <c r="K10" s="149">
        <v>0</v>
      </c>
      <c r="L10" s="149">
        <f t="shared" si="4"/>
        <v>58818.44</v>
      </c>
      <c r="M10" s="218">
        <f t="shared" si="5"/>
        <v>0</v>
      </c>
      <c r="N10" s="216">
        <v>59276.71</v>
      </c>
      <c r="O10" s="149">
        <v>0</v>
      </c>
      <c r="P10" s="149">
        <f t="shared" si="6"/>
        <v>59276.71</v>
      </c>
      <c r="Q10" s="218">
        <f t="shared" si="7"/>
        <v>0</v>
      </c>
      <c r="R10" s="216">
        <v>59049.596168582371</v>
      </c>
      <c r="S10" s="149">
        <v>0</v>
      </c>
      <c r="T10" s="149">
        <f t="shared" si="8"/>
        <v>59049.596168582371</v>
      </c>
      <c r="U10" s="218">
        <f t="shared" si="9"/>
        <v>0</v>
      </c>
      <c r="W10" s="216">
        <f t="shared" si="10"/>
        <v>776.70999999999913</v>
      </c>
      <c r="X10" s="149">
        <f t="shared" si="10"/>
        <v>0</v>
      </c>
      <c r="Y10" s="149">
        <f t="shared" si="10"/>
        <v>776.70999999999913</v>
      </c>
      <c r="Z10" s="218">
        <f t="shared" si="10"/>
        <v>0</v>
      </c>
      <c r="AA10" s="216">
        <f t="shared" si="10"/>
        <v>773.73409961684956</v>
      </c>
      <c r="AB10" s="149">
        <f t="shared" si="10"/>
        <v>0</v>
      </c>
      <c r="AC10" s="149">
        <f t="shared" si="10"/>
        <v>773.73409961684956</v>
      </c>
      <c r="AD10" s="218">
        <f t="shared" si="10"/>
        <v>0</v>
      </c>
      <c r="AF10" s="215" t="s">
        <v>165</v>
      </c>
      <c r="AG10" s="216">
        <v>58500</v>
      </c>
      <c r="AH10" s="149">
        <v>0</v>
      </c>
      <c r="AI10" s="149">
        <v>58500</v>
      </c>
      <c r="AJ10" s="218">
        <v>0</v>
      </c>
      <c r="AK10" s="216">
        <v>58275.862068965522</v>
      </c>
      <c r="AL10" s="149">
        <v>0</v>
      </c>
      <c r="AM10" s="149">
        <v>58275.862068965522</v>
      </c>
      <c r="AN10" s="218">
        <v>0</v>
      </c>
    </row>
    <row r="11" spans="1:40" x14ac:dyDescent="0.2">
      <c r="A11" s="215" t="s">
        <v>166</v>
      </c>
      <c r="B11" s="216">
        <v>40475</v>
      </c>
      <c r="C11" s="149">
        <v>0</v>
      </c>
      <c r="D11" s="149">
        <f t="shared" si="0"/>
        <v>40475</v>
      </c>
      <c r="E11" s="217">
        <f t="shared" si="1"/>
        <v>0</v>
      </c>
      <c r="F11" s="216">
        <v>40011</v>
      </c>
      <c r="G11" s="149">
        <v>0</v>
      </c>
      <c r="H11" s="149">
        <f t="shared" si="2"/>
        <v>40011</v>
      </c>
      <c r="I11" s="218">
        <f t="shared" si="3"/>
        <v>0</v>
      </c>
      <c r="J11" s="216">
        <v>43450.91</v>
      </c>
      <c r="K11" s="149">
        <v>0</v>
      </c>
      <c r="L11" s="149">
        <f t="shared" si="4"/>
        <v>43450.91</v>
      </c>
      <c r="M11" s="218">
        <f t="shared" si="5"/>
        <v>0</v>
      </c>
      <c r="N11" s="216">
        <v>42463.079999999987</v>
      </c>
      <c r="O11" s="149">
        <v>0</v>
      </c>
      <c r="P11" s="149">
        <f t="shared" si="6"/>
        <v>42463.079999999987</v>
      </c>
      <c r="Q11" s="218">
        <f t="shared" si="7"/>
        <v>0</v>
      </c>
      <c r="R11" s="216">
        <v>42300.386206896539</v>
      </c>
      <c r="S11" s="149">
        <v>0</v>
      </c>
      <c r="T11" s="149">
        <f t="shared" si="8"/>
        <v>42300.386206896539</v>
      </c>
      <c r="U11" s="218">
        <f t="shared" si="9"/>
        <v>0</v>
      </c>
      <c r="W11" s="216">
        <f t="shared" si="10"/>
        <v>-1286.9200000000128</v>
      </c>
      <c r="X11" s="149">
        <f t="shared" si="10"/>
        <v>0</v>
      </c>
      <c r="Y11" s="149">
        <f t="shared" si="10"/>
        <v>-1286.9200000000128</v>
      </c>
      <c r="Z11" s="218">
        <f t="shared" si="10"/>
        <v>0</v>
      </c>
      <c r="AA11" s="216">
        <f t="shared" si="10"/>
        <v>-1281.9892720306671</v>
      </c>
      <c r="AB11" s="149">
        <f t="shared" si="10"/>
        <v>0</v>
      </c>
      <c r="AC11" s="149">
        <f t="shared" si="10"/>
        <v>-1281.9892720306671</v>
      </c>
      <c r="AD11" s="218">
        <f t="shared" si="10"/>
        <v>0</v>
      </c>
      <c r="AF11" s="215" t="s">
        <v>166</v>
      </c>
      <c r="AG11" s="216">
        <v>43750</v>
      </c>
      <c r="AH11" s="149">
        <v>0</v>
      </c>
      <c r="AI11" s="149">
        <v>43750</v>
      </c>
      <c r="AJ11" s="218">
        <v>0</v>
      </c>
      <c r="AK11" s="216">
        <v>43582.375478927206</v>
      </c>
      <c r="AL11" s="149">
        <v>0</v>
      </c>
      <c r="AM11" s="149">
        <v>43582.375478927206</v>
      </c>
      <c r="AN11" s="218">
        <v>0</v>
      </c>
    </row>
    <row r="12" spans="1:40" x14ac:dyDescent="0.2">
      <c r="A12" s="219" t="s">
        <v>167</v>
      </c>
      <c r="B12" s="216">
        <v>49.19</v>
      </c>
      <c r="C12" s="149">
        <v>0</v>
      </c>
      <c r="D12" s="149">
        <f t="shared" si="0"/>
        <v>49.19</v>
      </c>
      <c r="E12" s="217">
        <f t="shared" si="1"/>
        <v>0</v>
      </c>
      <c r="F12" s="216">
        <v>50.48</v>
      </c>
      <c r="G12" s="149">
        <v>0</v>
      </c>
      <c r="H12" s="149">
        <f t="shared" si="2"/>
        <v>50.48</v>
      </c>
      <c r="I12" s="218">
        <f t="shared" si="3"/>
        <v>0</v>
      </c>
      <c r="J12" s="216">
        <v>101.58</v>
      </c>
      <c r="K12" s="220">
        <v>0</v>
      </c>
      <c r="L12" s="149">
        <f t="shared" si="4"/>
        <v>101.58</v>
      </c>
      <c r="M12" s="218">
        <f t="shared" si="5"/>
        <v>0</v>
      </c>
      <c r="N12" s="216">
        <v>65.540000000000006</v>
      </c>
      <c r="O12" s="149">
        <v>0</v>
      </c>
      <c r="P12" s="149">
        <f t="shared" si="6"/>
        <v>65.540000000000006</v>
      </c>
      <c r="Q12" s="218">
        <f t="shared" si="7"/>
        <v>0</v>
      </c>
      <c r="R12" s="216">
        <v>65.288888888888891</v>
      </c>
      <c r="S12" s="149">
        <v>0</v>
      </c>
      <c r="T12" s="149">
        <f t="shared" si="8"/>
        <v>65.288888888888891</v>
      </c>
      <c r="U12" s="218">
        <f t="shared" si="9"/>
        <v>0</v>
      </c>
      <c r="W12" s="216">
        <f t="shared" si="10"/>
        <v>65.540000000000006</v>
      </c>
      <c r="X12" s="149">
        <f t="shared" si="10"/>
        <v>0</v>
      </c>
      <c r="Y12" s="149">
        <f t="shared" si="10"/>
        <v>65.540000000000006</v>
      </c>
      <c r="Z12" s="218">
        <f t="shared" si="10"/>
        <v>0</v>
      </c>
      <c r="AA12" s="216">
        <f t="shared" si="10"/>
        <v>65.288888888888891</v>
      </c>
      <c r="AB12" s="149">
        <f t="shared" si="10"/>
        <v>0</v>
      </c>
      <c r="AC12" s="149">
        <f t="shared" si="10"/>
        <v>65.288888888888891</v>
      </c>
      <c r="AD12" s="218">
        <f t="shared" si="10"/>
        <v>0</v>
      </c>
      <c r="AF12" s="215"/>
      <c r="AG12" s="216"/>
      <c r="AH12" s="149"/>
      <c r="AI12" s="149"/>
      <c r="AJ12" s="218"/>
      <c r="AK12" s="216"/>
      <c r="AL12" s="149"/>
      <c r="AM12" s="149"/>
      <c r="AN12" s="218"/>
    </row>
    <row r="13" spans="1:40" x14ac:dyDescent="0.2">
      <c r="A13" s="219" t="s">
        <v>168</v>
      </c>
      <c r="B13" s="216">
        <v>55.81</v>
      </c>
      <c r="C13" s="149">
        <v>0</v>
      </c>
      <c r="D13" s="149">
        <f t="shared" si="0"/>
        <v>55.81</v>
      </c>
      <c r="E13" s="217">
        <f t="shared" si="1"/>
        <v>0</v>
      </c>
      <c r="F13" s="216">
        <v>81.52000000000001</v>
      </c>
      <c r="G13" s="149">
        <v>0</v>
      </c>
      <c r="H13" s="149">
        <f t="shared" si="2"/>
        <v>81.52000000000001</v>
      </c>
      <c r="I13" s="218">
        <f t="shared" si="3"/>
        <v>0</v>
      </c>
      <c r="J13" s="216">
        <v>43.050000000004658</v>
      </c>
      <c r="K13" s="149">
        <v>0</v>
      </c>
      <c r="L13" s="149">
        <f t="shared" si="4"/>
        <v>43.050000000004658</v>
      </c>
      <c r="M13" s="218">
        <f t="shared" si="5"/>
        <v>0</v>
      </c>
      <c r="N13" s="216">
        <v>38.61</v>
      </c>
      <c r="O13" s="149">
        <v>0</v>
      </c>
      <c r="P13" s="149">
        <f t="shared" si="6"/>
        <v>38.61</v>
      </c>
      <c r="Q13" s="218">
        <f t="shared" si="7"/>
        <v>0</v>
      </c>
      <c r="R13" s="216">
        <v>38.46206896551724</v>
      </c>
      <c r="S13" s="149">
        <v>0</v>
      </c>
      <c r="T13" s="149">
        <f t="shared" si="8"/>
        <v>38.46206896551724</v>
      </c>
      <c r="U13" s="218">
        <f t="shared" si="9"/>
        <v>0</v>
      </c>
      <c r="W13" s="216">
        <f t="shared" si="10"/>
        <v>-111.39</v>
      </c>
      <c r="X13" s="149">
        <f t="shared" si="10"/>
        <v>0</v>
      </c>
      <c r="Y13" s="149">
        <f t="shared" si="10"/>
        <v>-111.39</v>
      </c>
      <c r="Z13" s="218">
        <f t="shared" si="10"/>
        <v>0</v>
      </c>
      <c r="AA13" s="216">
        <f t="shared" si="10"/>
        <v>-110.9632183908046</v>
      </c>
      <c r="AB13" s="149">
        <f t="shared" si="10"/>
        <v>0</v>
      </c>
      <c r="AC13" s="149">
        <f t="shared" si="10"/>
        <v>-110.9632183908046</v>
      </c>
      <c r="AD13" s="218">
        <f t="shared" si="10"/>
        <v>0</v>
      </c>
      <c r="AF13" s="215" t="s">
        <v>169</v>
      </c>
      <c r="AG13" s="216">
        <v>150</v>
      </c>
      <c r="AH13" s="149">
        <v>0</v>
      </c>
      <c r="AI13" s="149">
        <v>150</v>
      </c>
      <c r="AJ13" s="218">
        <v>0</v>
      </c>
      <c r="AK13" s="216">
        <v>149.42528735632183</v>
      </c>
      <c r="AL13" s="149">
        <v>0</v>
      </c>
      <c r="AM13" s="149">
        <v>149.42528735632183</v>
      </c>
      <c r="AN13" s="218">
        <v>0</v>
      </c>
    </row>
    <row r="14" spans="1:40" x14ac:dyDescent="0.2">
      <c r="A14" s="221" t="s">
        <v>170</v>
      </c>
      <c r="B14" s="222">
        <f>SUM(B9:B13)</f>
        <v>256616</v>
      </c>
      <c r="C14" s="223">
        <f>SUM(C9:C13)</f>
        <v>2451</v>
      </c>
      <c r="D14" s="223">
        <f t="shared" si="0"/>
        <v>254165</v>
      </c>
      <c r="E14" s="224">
        <f t="shared" si="1"/>
        <v>9.5512360881628584E-3</v>
      </c>
      <c r="F14" s="222">
        <f>SUM(F9:F13)</f>
        <v>261417.8</v>
      </c>
      <c r="G14" s="223">
        <f>SUM(G9:G13)</f>
        <v>730</v>
      </c>
      <c r="H14" s="223">
        <f t="shared" si="2"/>
        <v>260687.8</v>
      </c>
      <c r="I14" s="225">
        <f t="shared" si="3"/>
        <v>2.7924647824287404E-3</v>
      </c>
      <c r="J14" s="222">
        <f>SUM(J9:J13)</f>
        <v>269223.45499999996</v>
      </c>
      <c r="K14" s="223">
        <f>SUM(K9:K13)</f>
        <v>52.739999999999995</v>
      </c>
      <c r="L14" s="223">
        <f t="shared" si="4"/>
        <v>269170.71499999997</v>
      </c>
      <c r="M14" s="225">
        <f t="shared" si="5"/>
        <v>1.9589675052643539E-4</v>
      </c>
      <c r="N14" s="222">
        <f>SUM(N9:N13)</f>
        <v>269339.33999999991</v>
      </c>
      <c r="O14" s="223">
        <f>SUM(O9:O13)</f>
        <v>147.06</v>
      </c>
      <c r="P14" s="223">
        <f t="shared" si="6"/>
        <v>269192.27999999991</v>
      </c>
      <c r="Q14" s="225">
        <f t="shared" si="7"/>
        <v>5.4600267454431295E-4</v>
      </c>
      <c r="R14" s="222">
        <f>SUM(R9:R13)</f>
        <v>264137.38850574708</v>
      </c>
      <c r="S14" s="223">
        <f>SUM(S9:S13)</f>
        <v>6500</v>
      </c>
      <c r="T14" s="223">
        <f t="shared" si="8"/>
        <v>257637.38850574708</v>
      </c>
      <c r="U14" s="225">
        <f t="shared" si="9"/>
        <v>2.4608405636063799E-2</v>
      </c>
      <c r="W14" s="222">
        <f t="shared" si="10"/>
        <v>-1060.6600000000908</v>
      </c>
      <c r="X14" s="223">
        <f t="shared" si="10"/>
        <v>-2452.94</v>
      </c>
      <c r="Y14" s="223">
        <f t="shared" si="10"/>
        <v>1392.2799999999115</v>
      </c>
      <c r="Z14" s="225">
        <f t="shared" si="10"/>
        <v>-9.0693819408403029E-3</v>
      </c>
      <c r="AA14" s="222">
        <f t="shared" si="10"/>
        <v>-5226.5961685824441</v>
      </c>
      <c r="AB14" s="223">
        <f t="shared" si="10"/>
        <v>0</v>
      </c>
      <c r="AC14" s="223">
        <f t="shared" si="10"/>
        <v>-5226.5961685824441</v>
      </c>
      <c r="AD14" s="225">
        <f t="shared" si="10"/>
        <v>4.7748847630048677E-4</v>
      </c>
      <c r="AF14" s="221" t="s">
        <v>170</v>
      </c>
      <c r="AG14" s="222">
        <v>270400</v>
      </c>
      <c r="AH14" s="223">
        <v>2600</v>
      </c>
      <c r="AI14" s="223">
        <v>267800</v>
      </c>
      <c r="AJ14" s="225">
        <v>9.6153846153846159E-3</v>
      </c>
      <c r="AK14" s="222">
        <v>269363.98467432952</v>
      </c>
      <c r="AL14" s="223">
        <v>6500</v>
      </c>
      <c r="AM14" s="223">
        <v>262863.98467432952</v>
      </c>
      <c r="AN14" s="225">
        <v>2.4130917159763312E-2</v>
      </c>
    </row>
    <row r="15" spans="1:40" x14ac:dyDescent="0.2">
      <c r="A15" s="226"/>
      <c r="B15" s="227"/>
      <c r="C15" s="228"/>
      <c r="D15" s="228"/>
      <c r="E15" s="217"/>
      <c r="F15" s="227"/>
      <c r="G15" s="228"/>
      <c r="H15" s="228"/>
      <c r="I15" s="218"/>
      <c r="J15" s="227"/>
      <c r="K15" s="228"/>
      <c r="L15" s="228"/>
      <c r="M15" s="218"/>
      <c r="N15" s="227"/>
      <c r="O15" s="228"/>
      <c r="P15" s="228"/>
      <c r="Q15" s="218"/>
      <c r="R15" s="227"/>
      <c r="S15" s="228"/>
      <c r="T15" s="228"/>
      <c r="U15" s="218"/>
      <c r="V15" s="229"/>
      <c r="W15" s="227"/>
      <c r="X15" s="228"/>
      <c r="Y15" s="228"/>
      <c r="Z15" s="218"/>
      <c r="AA15" s="227"/>
      <c r="AB15" s="228"/>
      <c r="AC15" s="228"/>
      <c r="AD15" s="218"/>
      <c r="AF15" s="226"/>
      <c r="AG15" s="227"/>
      <c r="AH15" s="228"/>
      <c r="AI15" s="228"/>
      <c r="AJ15" s="218"/>
      <c r="AK15" s="227"/>
      <c r="AL15" s="228"/>
      <c r="AM15" s="228"/>
      <c r="AN15" s="218"/>
    </row>
    <row r="16" spans="1:40" x14ac:dyDescent="0.2">
      <c r="A16" s="203" t="s">
        <v>171</v>
      </c>
      <c r="B16" s="216"/>
      <c r="C16" s="149"/>
      <c r="D16" s="149"/>
      <c r="E16" s="217"/>
      <c r="F16" s="216"/>
      <c r="G16" s="149"/>
      <c r="H16" s="149"/>
      <c r="I16" s="218"/>
      <c r="J16" s="216"/>
      <c r="K16" s="149"/>
      <c r="L16" s="149"/>
      <c r="M16" s="218"/>
      <c r="N16" s="216"/>
      <c r="O16" s="149"/>
      <c r="P16" s="149"/>
      <c r="Q16" s="218"/>
      <c r="R16" s="216"/>
      <c r="S16" s="149"/>
      <c r="T16" s="149"/>
      <c r="U16" s="218"/>
      <c r="V16" s="229"/>
      <c r="W16" s="216"/>
      <c r="X16" s="149"/>
      <c r="Y16" s="149"/>
      <c r="Z16" s="218"/>
      <c r="AA16" s="216"/>
      <c r="AB16" s="149"/>
      <c r="AC16" s="149"/>
      <c r="AD16" s="218"/>
      <c r="AF16" s="203" t="s">
        <v>172</v>
      </c>
      <c r="AG16" s="216"/>
      <c r="AH16" s="149"/>
      <c r="AI16" s="149"/>
      <c r="AJ16" s="218"/>
      <c r="AK16" s="216"/>
      <c r="AL16" s="149"/>
      <c r="AM16" s="149"/>
      <c r="AN16" s="218"/>
    </row>
    <row r="17" spans="1:40" x14ac:dyDescent="0.2">
      <c r="A17" s="215" t="s">
        <v>164</v>
      </c>
      <c r="B17" s="216">
        <v>64748.5</v>
      </c>
      <c r="C17" s="149">
        <v>64287</v>
      </c>
      <c r="D17" s="149">
        <f t="shared" ref="D17:D24" si="11">+B17-C17</f>
        <v>461.5</v>
      </c>
      <c r="E17" s="217">
        <f t="shared" ref="E17:E24" si="12">IF(B17&lt;&gt;0,C17/B17,0)</f>
        <v>0.99287242175494417</v>
      </c>
      <c r="F17" s="216">
        <v>66955</v>
      </c>
      <c r="G17" s="149">
        <v>64228</v>
      </c>
      <c r="H17" s="149">
        <f t="shared" ref="H17:H24" si="13">+F17-G17</f>
        <v>2727</v>
      </c>
      <c r="I17" s="218">
        <f t="shared" ref="I17:I24" si="14">IF(F17&lt;&gt;0,G17/F17,0)</f>
        <v>0.95927115226644766</v>
      </c>
      <c r="J17" s="216">
        <v>67885.229999999981</v>
      </c>
      <c r="K17" s="149">
        <v>63615.335014977303</v>
      </c>
      <c r="L17" s="149">
        <f t="shared" ref="L17:L24" si="15">+J17-K17</f>
        <v>4269.8949850226782</v>
      </c>
      <c r="M17" s="218">
        <f t="shared" ref="M17:M24" si="16">IF(J17&lt;&gt;0,K17/J17,0)</f>
        <v>0.93710126657856685</v>
      </c>
      <c r="N17" s="216">
        <v>69357.549999999988</v>
      </c>
      <c r="O17" s="149">
        <v>66203.58177324431</v>
      </c>
      <c r="P17" s="149">
        <f t="shared" ref="P17:P24" si="17">+N17-O17</f>
        <v>3153.9682267556782</v>
      </c>
      <c r="Q17" s="218">
        <f>IF(N17&lt;&gt;0,O17/N17,0)</f>
        <v>0.95452595677391028</v>
      </c>
      <c r="R17" s="216">
        <v>70759.81226053639</v>
      </c>
      <c r="S17" s="149">
        <v>67575.620708812246</v>
      </c>
      <c r="T17" s="149">
        <f t="shared" ref="T17:T24" si="18">+R17-S17</f>
        <v>3184.1915517241432</v>
      </c>
      <c r="U17" s="218">
        <f t="shared" ref="U17:U24" si="19">IF(R17&lt;&gt;0,S17/R17,0)</f>
        <v>0.95499999999999996</v>
      </c>
      <c r="V17" s="229"/>
      <c r="W17" s="216">
        <f t="shared" ref="W17:AA24" si="20">IFERROR(N17-AG17,"")</f>
        <v>1357.5499999999884</v>
      </c>
      <c r="X17" s="149">
        <f t="shared" si="20"/>
        <v>1603.5817732443102</v>
      </c>
      <c r="Y17" s="149">
        <f t="shared" si="20"/>
        <v>-246.03177324432181</v>
      </c>
      <c r="Z17" s="218">
        <f t="shared" si="20"/>
        <v>4.5259567739103224E-3</v>
      </c>
      <c r="AA17" s="216">
        <f>IFERROR(R17-AK17,"")</f>
        <v>3020.3486590038228</v>
      </c>
      <c r="AB17" s="149">
        <f t="shared" ref="AB17:AD24" si="21">IFERROR(S17-AL17,"")</f>
        <v>3223.1302873563109</v>
      </c>
      <c r="AC17" s="149">
        <f t="shared" si="21"/>
        <v>-202.78162835248804</v>
      </c>
      <c r="AD17" s="218">
        <f t="shared" si="21"/>
        <v>5.0000000000000044E-3</v>
      </c>
      <c r="AF17" s="215" t="s">
        <v>164</v>
      </c>
      <c r="AG17" s="216">
        <v>68000</v>
      </c>
      <c r="AH17" s="149">
        <v>64600</v>
      </c>
      <c r="AI17" s="149">
        <v>3400</v>
      </c>
      <c r="AJ17" s="218">
        <v>0.95</v>
      </c>
      <c r="AK17" s="216">
        <v>67739.463601532567</v>
      </c>
      <c r="AL17" s="149">
        <v>64352.490421455936</v>
      </c>
      <c r="AM17" s="149">
        <v>3386.9731800766313</v>
      </c>
      <c r="AN17" s="218">
        <v>0.95</v>
      </c>
    </row>
    <row r="18" spans="1:40" x14ac:dyDescent="0.2">
      <c r="A18" s="215" t="s">
        <v>165</v>
      </c>
      <c r="B18" s="216">
        <v>97120.9</v>
      </c>
      <c r="C18" s="149">
        <v>96428</v>
      </c>
      <c r="D18" s="149">
        <f t="shared" si="11"/>
        <v>692.89999999999418</v>
      </c>
      <c r="E18" s="217">
        <f t="shared" si="12"/>
        <v>0.99286559329660251</v>
      </c>
      <c r="F18" s="216">
        <v>101410</v>
      </c>
      <c r="G18" s="149">
        <v>97280</v>
      </c>
      <c r="H18" s="149">
        <f t="shared" si="13"/>
        <v>4130</v>
      </c>
      <c r="I18" s="218">
        <f t="shared" si="14"/>
        <v>0.95927423331032446</v>
      </c>
      <c r="J18" s="216">
        <v>101944.73999999996</v>
      </c>
      <c r="K18" s="149">
        <v>95532.54497502264</v>
      </c>
      <c r="L18" s="149">
        <f t="shared" si="15"/>
        <v>6412.1950249773217</v>
      </c>
      <c r="M18" s="218">
        <f t="shared" si="16"/>
        <v>0.93710126657856674</v>
      </c>
      <c r="N18" s="216">
        <v>102398.67499999999</v>
      </c>
      <c r="O18" s="149">
        <v>97742.193226755684</v>
      </c>
      <c r="P18" s="149">
        <f t="shared" si="17"/>
        <v>4656.4817732443043</v>
      </c>
      <c r="Q18" s="218">
        <f t="shared" ref="Q18:Q24" si="22">IF(N18&lt;&gt;0,O18/N18,0)</f>
        <v>0.95452595677391039</v>
      </c>
      <c r="R18" s="216">
        <v>102006.34291187739</v>
      </c>
      <c r="S18" s="149">
        <v>97416.057480842908</v>
      </c>
      <c r="T18" s="149">
        <f t="shared" si="18"/>
        <v>4590.2854310344846</v>
      </c>
      <c r="U18" s="218">
        <f t="shared" si="19"/>
        <v>0.95499999999999996</v>
      </c>
      <c r="V18" s="229"/>
      <c r="W18" s="216">
        <f t="shared" si="20"/>
        <v>398.67499999998836</v>
      </c>
      <c r="X18" s="149">
        <f t="shared" si="20"/>
        <v>842.19322675568401</v>
      </c>
      <c r="Y18" s="149">
        <f t="shared" si="20"/>
        <v>-443.51822675569565</v>
      </c>
      <c r="Z18" s="218">
        <f t="shared" si="20"/>
        <v>4.5259567739104334E-3</v>
      </c>
      <c r="AA18" s="216">
        <f>IFERROR(R18-AK18,"")</f>
        <v>397.14750957852812</v>
      </c>
      <c r="AB18" s="149">
        <f t="shared" si="21"/>
        <v>887.32184865899035</v>
      </c>
      <c r="AC18" s="149">
        <f t="shared" si="21"/>
        <v>-490.17433908046223</v>
      </c>
      <c r="AD18" s="218">
        <f t="shared" si="21"/>
        <v>5.0000000000000044E-3</v>
      </c>
      <c r="AF18" s="215" t="s">
        <v>165</v>
      </c>
      <c r="AG18" s="216">
        <v>102000</v>
      </c>
      <c r="AH18" s="149">
        <v>96900</v>
      </c>
      <c r="AI18" s="149">
        <v>5100</v>
      </c>
      <c r="AJ18" s="218">
        <v>0.95</v>
      </c>
      <c r="AK18" s="216">
        <v>101609.19540229886</v>
      </c>
      <c r="AL18" s="149">
        <v>96528.735632183918</v>
      </c>
      <c r="AM18" s="149">
        <v>5080.4597701149469</v>
      </c>
      <c r="AN18" s="218">
        <v>0.95</v>
      </c>
    </row>
    <row r="19" spans="1:40" x14ac:dyDescent="0.2">
      <c r="A19" s="215" t="s">
        <v>169</v>
      </c>
      <c r="B19" s="216">
        <v>0</v>
      </c>
      <c r="C19" s="149">
        <v>0</v>
      </c>
      <c r="D19" s="149">
        <f t="shared" si="11"/>
        <v>0</v>
      </c>
      <c r="E19" s="217">
        <f t="shared" si="12"/>
        <v>0</v>
      </c>
      <c r="F19" s="216">
        <v>0</v>
      </c>
      <c r="G19" s="149">
        <v>0</v>
      </c>
      <c r="H19" s="149">
        <f t="shared" si="13"/>
        <v>0</v>
      </c>
      <c r="I19" s="218">
        <f t="shared" si="14"/>
        <v>0</v>
      </c>
      <c r="J19" s="216">
        <v>0</v>
      </c>
      <c r="K19" s="149">
        <v>0</v>
      </c>
      <c r="L19" s="149">
        <f t="shared" si="15"/>
        <v>0</v>
      </c>
      <c r="M19" s="218">
        <f t="shared" si="16"/>
        <v>0</v>
      </c>
      <c r="N19" s="216">
        <v>0</v>
      </c>
      <c r="O19" s="149">
        <v>0</v>
      </c>
      <c r="P19" s="149">
        <f t="shared" si="17"/>
        <v>0</v>
      </c>
      <c r="Q19" s="218">
        <f t="shared" si="22"/>
        <v>0</v>
      </c>
      <c r="R19" s="216">
        <v>0</v>
      </c>
      <c r="S19" s="149">
        <v>0</v>
      </c>
      <c r="T19" s="149">
        <f t="shared" si="18"/>
        <v>0</v>
      </c>
      <c r="U19" s="218">
        <f t="shared" si="19"/>
        <v>0</v>
      </c>
      <c r="V19" s="229"/>
      <c r="W19" s="216">
        <f t="shared" si="20"/>
        <v>0</v>
      </c>
      <c r="X19" s="149">
        <f t="shared" si="20"/>
        <v>0</v>
      </c>
      <c r="Y19" s="149">
        <f t="shared" si="20"/>
        <v>0</v>
      </c>
      <c r="Z19" s="218">
        <f t="shared" si="20"/>
        <v>0</v>
      </c>
      <c r="AA19" s="216">
        <f t="shared" si="20"/>
        <v>0</v>
      </c>
      <c r="AB19" s="149">
        <f t="shared" si="21"/>
        <v>0</v>
      </c>
      <c r="AC19" s="149">
        <f t="shared" si="21"/>
        <v>0</v>
      </c>
      <c r="AD19" s="218">
        <f t="shared" si="21"/>
        <v>0</v>
      </c>
      <c r="AF19" s="215" t="s">
        <v>169</v>
      </c>
      <c r="AG19" s="216">
        <v>0</v>
      </c>
      <c r="AH19" s="149">
        <v>0</v>
      </c>
      <c r="AI19" s="149">
        <v>0</v>
      </c>
      <c r="AJ19" s="218">
        <v>0</v>
      </c>
      <c r="AK19" s="216">
        <v>0</v>
      </c>
      <c r="AL19" s="149">
        <v>0</v>
      </c>
      <c r="AM19" s="149">
        <v>0</v>
      </c>
      <c r="AN19" s="218">
        <v>0</v>
      </c>
    </row>
    <row r="20" spans="1:40" ht="14.25" customHeight="1" x14ac:dyDescent="0.2">
      <c r="A20" s="215" t="s">
        <v>173</v>
      </c>
      <c r="B20" s="216">
        <v>384</v>
      </c>
      <c r="C20" s="149">
        <v>384</v>
      </c>
      <c r="D20" s="149">
        <f t="shared" si="11"/>
        <v>0</v>
      </c>
      <c r="E20" s="217">
        <f t="shared" si="12"/>
        <v>1</v>
      </c>
      <c r="F20" s="216">
        <v>481</v>
      </c>
      <c r="G20" s="149">
        <v>481</v>
      </c>
      <c r="H20" s="149">
        <f t="shared" si="13"/>
        <v>0</v>
      </c>
      <c r="I20" s="218">
        <f t="shared" si="14"/>
        <v>1</v>
      </c>
      <c r="J20" s="216">
        <v>427.40000000000009</v>
      </c>
      <c r="K20" s="149">
        <v>427.40000000000009</v>
      </c>
      <c r="L20" s="149">
        <f t="shared" si="15"/>
        <v>0</v>
      </c>
      <c r="M20" s="218">
        <f t="shared" si="16"/>
        <v>1</v>
      </c>
      <c r="N20" s="149">
        <v>489.02999999999992</v>
      </c>
      <c r="O20" s="149">
        <v>489.02999999999992</v>
      </c>
      <c r="P20" s="149">
        <f t="shared" si="17"/>
        <v>0</v>
      </c>
      <c r="Q20" s="218">
        <f t="shared" si="22"/>
        <v>1</v>
      </c>
      <c r="R20" s="216">
        <v>487.15632183908036</v>
      </c>
      <c r="S20" s="149">
        <v>487.15632183908036</v>
      </c>
      <c r="T20" s="149">
        <f t="shared" si="18"/>
        <v>0</v>
      </c>
      <c r="U20" s="218">
        <f t="shared" si="19"/>
        <v>1</v>
      </c>
      <c r="V20" s="229"/>
      <c r="W20" s="216">
        <f t="shared" si="20"/>
        <v>89.029999999999916</v>
      </c>
      <c r="X20" s="149">
        <f t="shared" si="20"/>
        <v>89.029999999999916</v>
      </c>
      <c r="Y20" s="149">
        <f t="shared" si="20"/>
        <v>0</v>
      </c>
      <c r="Z20" s="218">
        <f t="shared" si="20"/>
        <v>0</v>
      </c>
      <c r="AA20" s="216">
        <f t="shared" si="20"/>
        <v>88.688888888888755</v>
      </c>
      <c r="AB20" s="149">
        <f t="shared" si="21"/>
        <v>88.688888888888755</v>
      </c>
      <c r="AC20" s="149">
        <f t="shared" si="21"/>
        <v>0</v>
      </c>
      <c r="AD20" s="218">
        <f t="shared" si="21"/>
        <v>0</v>
      </c>
      <c r="AF20" s="215" t="s">
        <v>173</v>
      </c>
      <c r="AG20" s="149">
        <v>400</v>
      </c>
      <c r="AH20" s="149">
        <v>400</v>
      </c>
      <c r="AI20" s="149">
        <v>0</v>
      </c>
      <c r="AJ20" s="218">
        <v>1</v>
      </c>
      <c r="AK20" s="216">
        <v>398.46743295019161</v>
      </c>
      <c r="AL20" s="149">
        <v>398.46743295019161</v>
      </c>
      <c r="AM20" s="149">
        <v>0</v>
      </c>
      <c r="AN20" s="218">
        <v>1</v>
      </c>
    </row>
    <row r="21" spans="1:40" x14ac:dyDescent="0.2">
      <c r="A21" s="219" t="s">
        <v>174</v>
      </c>
      <c r="B21" s="216">
        <v>2368</v>
      </c>
      <c r="C21" s="149">
        <v>2368</v>
      </c>
      <c r="D21" s="149">
        <f t="shared" si="11"/>
        <v>0</v>
      </c>
      <c r="E21" s="217">
        <f t="shared" si="12"/>
        <v>1</v>
      </c>
      <c r="F21" s="216">
        <v>3012.4</v>
      </c>
      <c r="G21" s="149">
        <v>3012.4</v>
      </c>
      <c r="H21" s="149">
        <f t="shared" si="13"/>
        <v>0</v>
      </c>
      <c r="I21" s="218">
        <f t="shared" si="14"/>
        <v>1</v>
      </c>
      <c r="J21" s="216">
        <v>2881.3400000000006</v>
      </c>
      <c r="K21" s="149">
        <v>2881.3400000000006</v>
      </c>
      <c r="L21" s="149">
        <f t="shared" si="15"/>
        <v>0</v>
      </c>
      <c r="M21" s="218">
        <f t="shared" si="16"/>
        <v>1</v>
      </c>
      <c r="N21" s="216">
        <v>2671.690000000001</v>
      </c>
      <c r="O21" s="149">
        <v>2671.690000000001</v>
      </c>
      <c r="P21" s="149">
        <f t="shared" si="17"/>
        <v>0</v>
      </c>
      <c r="Q21" s="218">
        <f t="shared" si="22"/>
        <v>1</v>
      </c>
      <c r="R21" s="216">
        <v>2661.453639846744</v>
      </c>
      <c r="S21" s="149">
        <v>2661.453639846744</v>
      </c>
      <c r="T21" s="149">
        <f t="shared" si="18"/>
        <v>0</v>
      </c>
      <c r="U21" s="218">
        <f t="shared" si="19"/>
        <v>1</v>
      </c>
      <c r="V21" s="229"/>
      <c r="W21" s="216">
        <f t="shared" si="20"/>
        <v>-328.30999999999904</v>
      </c>
      <c r="X21" s="149">
        <f t="shared" si="20"/>
        <v>-328.30999999999904</v>
      </c>
      <c r="Y21" s="149">
        <f t="shared" si="20"/>
        <v>0</v>
      </c>
      <c r="Z21" s="218">
        <f t="shared" si="20"/>
        <v>0</v>
      </c>
      <c r="AA21" s="216">
        <f t="shared" si="20"/>
        <v>-327.05210727969279</v>
      </c>
      <c r="AB21" s="149">
        <f t="shared" si="21"/>
        <v>-327.05210727969279</v>
      </c>
      <c r="AC21" s="149">
        <f t="shared" si="21"/>
        <v>0</v>
      </c>
      <c r="AD21" s="218">
        <f t="shared" si="21"/>
        <v>0</v>
      </c>
      <c r="AF21" s="215" t="s">
        <v>175</v>
      </c>
      <c r="AG21" s="216">
        <v>3000</v>
      </c>
      <c r="AH21" s="149">
        <v>3000</v>
      </c>
      <c r="AI21" s="149">
        <v>0</v>
      </c>
      <c r="AJ21" s="218">
        <v>1</v>
      </c>
      <c r="AK21" s="216">
        <v>2988.5057471264367</v>
      </c>
      <c r="AL21" s="149">
        <v>2988.5057471264367</v>
      </c>
      <c r="AM21" s="149">
        <v>0</v>
      </c>
      <c r="AN21" s="218">
        <v>1</v>
      </c>
    </row>
    <row r="22" spans="1:40" x14ac:dyDescent="0.2">
      <c r="A22" s="215" t="s">
        <v>176</v>
      </c>
      <c r="B22" s="216">
        <v>727</v>
      </c>
      <c r="C22" s="149">
        <v>727</v>
      </c>
      <c r="D22" s="149">
        <f t="shared" si="11"/>
        <v>0</v>
      </c>
      <c r="E22" s="217">
        <f t="shared" si="12"/>
        <v>1</v>
      </c>
      <c r="F22" s="216">
        <v>948.4</v>
      </c>
      <c r="G22" s="149">
        <v>948.4</v>
      </c>
      <c r="H22" s="149">
        <f t="shared" si="13"/>
        <v>0</v>
      </c>
      <c r="I22" s="218">
        <f t="shared" si="14"/>
        <v>1</v>
      </c>
      <c r="J22" s="216">
        <v>977.74999999999989</v>
      </c>
      <c r="K22" s="149">
        <v>977.74999999999989</v>
      </c>
      <c r="L22" s="149">
        <f t="shared" si="15"/>
        <v>0</v>
      </c>
      <c r="M22" s="218">
        <f t="shared" si="16"/>
        <v>1</v>
      </c>
      <c r="N22" s="149">
        <v>902.27</v>
      </c>
      <c r="O22" s="149">
        <v>902.27</v>
      </c>
      <c r="P22" s="149">
        <f t="shared" si="17"/>
        <v>0</v>
      </c>
      <c r="Q22" s="218">
        <f t="shared" si="22"/>
        <v>1</v>
      </c>
      <c r="R22" s="216">
        <v>898.81302681992338</v>
      </c>
      <c r="S22" s="149">
        <v>898.81302681992338</v>
      </c>
      <c r="T22" s="149">
        <f t="shared" si="18"/>
        <v>0</v>
      </c>
      <c r="U22" s="218">
        <f t="shared" si="19"/>
        <v>1</v>
      </c>
      <c r="V22" s="229"/>
      <c r="W22" s="216">
        <f t="shared" si="20"/>
        <v>-97.730000000000018</v>
      </c>
      <c r="X22" s="149">
        <f t="shared" si="20"/>
        <v>-97.730000000000018</v>
      </c>
      <c r="Y22" s="149">
        <f t="shared" si="20"/>
        <v>0</v>
      </c>
      <c r="Z22" s="218">
        <f t="shared" si="20"/>
        <v>0</v>
      </c>
      <c r="AA22" s="216">
        <f t="shared" si="20"/>
        <v>-97.355555555555497</v>
      </c>
      <c r="AB22" s="149">
        <f t="shared" si="21"/>
        <v>-97.355555555555497</v>
      </c>
      <c r="AC22" s="149">
        <f t="shared" si="21"/>
        <v>0</v>
      </c>
      <c r="AD22" s="218">
        <f t="shared" si="21"/>
        <v>0</v>
      </c>
      <c r="AF22" s="215" t="s">
        <v>176</v>
      </c>
      <c r="AG22" s="149">
        <v>1000</v>
      </c>
      <c r="AH22" s="149">
        <v>1000</v>
      </c>
      <c r="AI22" s="149">
        <v>0</v>
      </c>
      <c r="AJ22" s="218">
        <v>1</v>
      </c>
      <c r="AK22" s="216">
        <v>996.16858237547888</v>
      </c>
      <c r="AL22" s="149">
        <v>996.16858237547888</v>
      </c>
      <c r="AM22" s="149">
        <v>0</v>
      </c>
      <c r="AN22" s="218">
        <v>1</v>
      </c>
    </row>
    <row r="23" spans="1:40" x14ac:dyDescent="0.2">
      <c r="A23" s="215" t="s">
        <v>177</v>
      </c>
      <c r="B23" s="216">
        <v>614</v>
      </c>
      <c r="C23" s="149">
        <v>614</v>
      </c>
      <c r="D23" s="149">
        <f t="shared" si="11"/>
        <v>0</v>
      </c>
      <c r="E23" s="217">
        <f t="shared" si="12"/>
        <v>1</v>
      </c>
      <c r="F23" s="216">
        <v>698</v>
      </c>
      <c r="G23" s="149">
        <v>698</v>
      </c>
      <c r="H23" s="149">
        <f t="shared" si="13"/>
        <v>0</v>
      </c>
      <c r="I23" s="218">
        <f t="shared" si="14"/>
        <v>1</v>
      </c>
      <c r="J23" s="216">
        <v>632.92999999999995</v>
      </c>
      <c r="K23" s="149">
        <v>632.92999999999995</v>
      </c>
      <c r="L23" s="149">
        <f t="shared" si="15"/>
        <v>0</v>
      </c>
      <c r="M23" s="218">
        <f t="shared" si="16"/>
        <v>1</v>
      </c>
      <c r="N23" s="216">
        <v>662.60000000000014</v>
      </c>
      <c r="O23" s="149">
        <v>662.60000000000014</v>
      </c>
      <c r="P23" s="149">
        <f t="shared" si="17"/>
        <v>0</v>
      </c>
      <c r="Q23" s="218">
        <f t="shared" si="22"/>
        <v>1</v>
      </c>
      <c r="R23" s="216">
        <v>660.0613026819924</v>
      </c>
      <c r="S23" s="149">
        <v>660.0613026819924</v>
      </c>
      <c r="T23" s="149">
        <f t="shared" si="18"/>
        <v>0</v>
      </c>
      <c r="U23" s="218">
        <f t="shared" si="19"/>
        <v>1</v>
      </c>
      <c r="V23" s="229"/>
      <c r="W23" s="216">
        <f t="shared" si="20"/>
        <v>62.600000000000136</v>
      </c>
      <c r="X23" s="149">
        <f t="shared" si="20"/>
        <v>62.600000000000136</v>
      </c>
      <c r="Y23" s="149">
        <f t="shared" si="20"/>
        <v>0</v>
      </c>
      <c r="Z23" s="218">
        <f t="shared" si="20"/>
        <v>0</v>
      </c>
      <c r="AA23" s="216">
        <f t="shared" si="20"/>
        <v>62.360153256705075</v>
      </c>
      <c r="AB23" s="149">
        <f t="shared" si="21"/>
        <v>62.360153256705075</v>
      </c>
      <c r="AC23" s="149">
        <f t="shared" si="21"/>
        <v>0</v>
      </c>
      <c r="AD23" s="218">
        <f t="shared" si="21"/>
        <v>0</v>
      </c>
      <c r="AF23" s="215" t="s">
        <v>177</v>
      </c>
      <c r="AG23" s="216">
        <v>600</v>
      </c>
      <c r="AH23" s="149">
        <v>600</v>
      </c>
      <c r="AI23" s="149">
        <v>0</v>
      </c>
      <c r="AJ23" s="218">
        <v>1</v>
      </c>
      <c r="AK23" s="216">
        <v>597.70114942528733</v>
      </c>
      <c r="AL23" s="149">
        <v>597.70114942528733</v>
      </c>
      <c r="AM23" s="149">
        <v>0</v>
      </c>
      <c r="AN23" s="218">
        <v>1</v>
      </c>
    </row>
    <row r="24" spans="1:40" x14ac:dyDescent="0.2">
      <c r="A24" s="230" t="s">
        <v>178</v>
      </c>
      <c r="B24" s="222">
        <f>SUM(B17:B23)</f>
        <v>165962.4</v>
      </c>
      <c r="C24" s="223">
        <f>SUM(C17:C23)</f>
        <v>164808</v>
      </c>
      <c r="D24" s="223">
        <f t="shared" si="11"/>
        <v>1154.3999999999942</v>
      </c>
      <c r="E24" s="224">
        <f t="shared" si="12"/>
        <v>0.99304420760364998</v>
      </c>
      <c r="F24" s="222">
        <f>SUM(F17:F23)</f>
        <v>173504.8</v>
      </c>
      <c r="G24" s="223">
        <f>SUM(G17:G23)</f>
        <v>166647.79999999999</v>
      </c>
      <c r="H24" s="223">
        <f t="shared" si="13"/>
        <v>6857</v>
      </c>
      <c r="I24" s="225">
        <f t="shared" si="14"/>
        <v>0.96047947953024926</v>
      </c>
      <c r="J24" s="222">
        <f>SUM(J17:J23)</f>
        <v>174749.38999999993</v>
      </c>
      <c r="K24" s="223">
        <f>SUM(K17:K23)</f>
        <v>164067.29998999991</v>
      </c>
      <c r="L24" s="223">
        <f t="shared" si="15"/>
        <v>10682.090010000014</v>
      </c>
      <c r="M24" s="225">
        <f t="shared" si="16"/>
        <v>0.93887194679191721</v>
      </c>
      <c r="N24" s="222">
        <f>SUM(N17:N23)</f>
        <v>176481.81499999997</v>
      </c>
      <c r="O24" s="223">
        <f>SUM(O17:O23)</f>
        <v>168671.36499999999</v>
      </c>
      <c r="P24" s="223">
        <f t="shared" si="17"/>
        <v>7810.4499999999825</v>
      </c>
      <c r="Q24" s="225">
        <f t="shared" si="22"/>
        <v>0.95574359885181381</v>
      </c>
      <c r="R24" s="222">
        <f>SUM(R17:R23)</f>
        <v>177473.63946360155</v>
      </c>
      <c r="S24" s="223">
        <f>SUM(S17:S23)</f>
        <v>169699.1624808429</v>
      </c>
      <c r="T24" s="223">
        <f t="shared" si="18"/>
        <v>7774.4769827586424</v>
      </c>
      <c r="U24" s="225">
        <f t="shared" si="19"/>
        <v>0.95619362398688434</v>
      </c>
      <c r="V24" s="229"/>
      <c r="W24" s="222">
        <f t="shared" si="20"/>
        <v>1481.8149999999732</v>
      </c>
      <c r="X24" s="223">
        <f t="shared" si="20"/>
        <v>2171.3649999999907</v>
      </c>
      <c r="Y24" s="223">
        <f t="shared" si="20"/>
        <v>-689.55000000001746</v>
      </c>
      <c r="Z24" s="225">
        <f t="shared" si="20"/>
        <v>4.3150274232424124E-3</v>
      </c>
      <c r="AA24" s="222">
        <f t="shared" si="20"/>
        <v>3144.137547892693</v>
      </c>
      <c r="AB24" s="223">
        <f t="shared" si="21"/>
        <v>3837.0935153256578</v>
      </c>
      <c r="AC24" s="223">
        <f t="shared" si="21"/>
        <v>-692.95596743296483</v>
      </c>
      <c r="AD24" s="225">
        <f t="shared" si="21"/>
        <v>4.7650525583131653E-3</v>
      </c>
      <c r="AF24" s="230" t="s">
        <v>178</v>
      </c>
      <c r="AG24" s="222">
        <v>175000</v>
      </c>
      <c r="AH24" s="223">
        <v>166500</v>
      </c>
      <c r="AI24" s="223">
        <v>8500</v>
      </c>
      <c r="AJ24" s="225">
        <v>0.9514285714285714</v>
      </c>
      <c r="AK24" s="222">
        <v>174329.50191570885</v>
      </c>
      <c r="AL24" s="223">
        <v>165862.06896551725</v>
      </c>
      <c r="AM24" s="223">
        <v>8467.4329501916072</v>
      </c>
      <c r="AN24" s="225">
        <v>0.95142857142857118</v>
      </c>
    </row>
    <row r="25" spans="1:40" x14ac:dyDescent="0.2">
      <c r="A25" s="226"/>
      <c r="B25" s="227"/>
      <c r="C25" s="228"/>
      <c r="D25" s="228"/>
      <c r="E25" s="217"/>
      <c r="F25" s="227"/>
      <c r="G25" s="228"/>
      <c r="H25" s="228"/>
      <c r="I25" s="218"/>
      <c r="J25" s="227"/>
      <c r="K25" s="228"/>
      <c r="L25" s="228"/>
      <c r="M25" s="218"/>
      <c r="N25" s="227"/>
      <c r="O25" s="228"/>
      <c r="P25" s="228"/>
      <c r="Q25" s="218"/>
      <c r="R25" s="227"/>
      <c r="S25" s="228"/>
      <c r="T25" s="228"/>
      <c r="U25" s="218"/>
      <c r="V25" s="229"/>
      <c r="W25" s="227"/>
      <c r="X25" s="228"/>
      <c r="Y25" s="228"/>
      <c r="Z25" s="218"/>
      <c r="AA25" s="227"/>
      <c r="AB25" s="228"/>
      <c r="AC25" s="228"/>
      <c r="AD25" s="218"/>
      <c r="AF25" s="226"/>
      <c r="AG25" s="227"/>
      <c r="AH25" s="228"/>
      <c r="AI25" s="228"/>
      <c r="AJ25" s="218"/>
      <c r="AK25" s="227"/>
      <c r="AL25" s="228"/>
      <c r="AM25" s="228"/>
      <c r="AN25" s="218"/>
    </row>
    <row r="26" spans="1:40" x14ac:dyDescent="0.2">
      <c r="A26" s="231" t="s">
        <v>179</v>
      </c>
      <c r="B26" s="216"/>
      <c r="C26" s="149"/>
      <c r="D26" s="149"/>
      <c r="E26" s="217"/>
      <c r="F26" s="216"/>
      <c r="G26" s="149"/>
      <c r="H26" s="149"/>
      <c r="I26" s="218"/>
      <c r="J26" s="216"/>
      <c r="K26" s="149"/>
      <c r="L26" s="149"/>
      <c r="M26" s="218"/>
      <c r="N26" s="216"/>
      <c r="O26" s="149"/>
      <c r="P26" s="149"/>
      <c r="Q26" s="218"/>
      <c r="R26" s="216"/>
      <c r="S26" s="149"/>
      <c r="T26" s="149"/>
      <c r="U26" s="218"/>
      <c r="V26" s="229"/>
      <c r="W26" s="216"/>
      <c r="X26" s="149"/>
      <c r="Y26" s="149"/>
      <c r="Z26" s="218"/>
      <c r="AA26" s="216"/>
      <c r="AB26" s="149"/>
      <c r="AC26" s="149"/>
      <c r="AD26" s="218"/>
      <c r="AF26" s="203" t="s">
        <v>180</v>
      </c>
      <c r="AG26" s="216"/>
      <c r="AH26" s="149"/>
      <c r="AI26" s="149"/>
      <c r="AJ26" s="218"/>
      <c r="AK26" s="216"/>
      <c r="AL26" s="149"/>
      <c r="AM26" s="149"/>
      <c r="AN26" s="218"/>
    </row>
    <row r="27" spans="1:40" x14ac:dyDescent="0.2">
      <c r="A27" s="219" t="s">
        <v>166</v>
      </c>
      <c r="B27" s="216">
        <v>64812.4</v>
      </c>
      <c r="C27" s="149">
        <v>34413</v>
      </c>
      <c r="D27" s="149">
        <f t="shared" ref="D27:D32" si="23">+B27-C27</f>
        <v>30399.4</v>
      </c>
      <c r="E27" s="217">
        <f t="shared" ref="E27:E32" si="24">IF(B27&lt;&gt;0,C27/B27,0)</f>
        <v>0.53096321074362307</v>
      </c>
      <c r="F27" s="216">
        <v>74317.8</v>
      </c>
      <c r="G27" s="149">
        <v>41380.800000000003</v>
      </c>
      <c r="H27" s="149">
        <f t="shared" ref="H27:H32" si="25">+F27-G27</f>
        <v>32937</v>
      </c>
      <c r="I27" s="218">
        <f t="shared" ref="I27:I32" si="26">IF(F27&lt;&gt;0,G27/F27,0)</f>
        <v>0.55680873222834903</v>
      </c>
      <c r="J27" s="216">
        <v>75768.494999999995</v>
      </c>
      <c r="K27" s="149">
        <v>38927.607403515576</v>
      </c>
      <c r="L27" s="149">
        <f t="shared" ref="L27:L32" si="27">+J27-K27</f>
        <v>36840.887596484419</v>
      </c>
      <c r="M27" s="218">
        <f t="shared" ref="M27:M32" si="28">IF(J27&lt;&gt;0,K27/J27,0)</f>
        <v>0.51377036594848002</v>
      </c>
      <c r="N27" s="216">
        <v>73114.14999999998</v>
      </c>
      <c r="O27" s="149">
        <v>37580.673099999993</v>
      </c>
      <c r="P27" s="149">
        <f t="shared" ref="P27:P32" si="29">+N27-O27</f>
        <v>35533.476899999987</v>
      </c>
      <c r="Q27" s="218">
        <f t="shared" ref="Q27:Q32" si="30">IF(N27&lt;&gt;0,O27/N27,0)</f>
        <v>0.51400000000000001</v>
      </c>
      <c r="R27" s="216">
        <v>72834.0191570881</v>
      </c>
      <c r="S27" s="149">
        <v>38986.875255447019</v>
      </c>
      <c r="T27" s="149">
        <f t="shared" ref="T27:T32" si="31">+R27-S27</f>
        <v>33847.14390164108</v>
      </c>
      <c r="U27" s="218">
        <f>IF(R27&lt;&gt;0,S27/R27,0)</f>
        <v>0.53528386469185907</v>
      </c>
      <c r="V27" s="229"/>
      <c r="W27" s="216">
        <f t="shared" ref="W27:AD32" si="32">IFERROR(N27-AG27,"")</f>
        <v>-2885.8500000000204</v>
      </c>
      <c r="X27" s="149">
        <f t="shared" si="32"/>
        <v>-1483.3269000000073</v>
      </c>
      <c r="Y27" s="149">
        <f t="shared" si="32"/>
        <v>-1402.5231000000131</v>
      </c>
      <c r="Z27" s="218">
        <f t="shared" si="32"/>
        <v>0</v>
      </c>
      <c r="AA27" s="216">
        <f t="shared" si="32"/>
        <v>-2874.7931034483045</v>
      </c>
      <c r="AB27" s="149">
        <f t="shared" si="32"/>
        <v>72.545753531310766</v>
      </c>
      <c r="AC27" s="149">
        <f t="shared" si="32"/>
        <v>-2947.3388569796152</v>
      </c>
      <c r="AD27" s="218">
        <f t="shared" si="32"/>
        <v>2.1283864691859056E-2</v>
      </c>
      <c r="AF27" s="219" t="s">
        <v>166</v>
      </c>
      <c r="AG27" s="216">
        <v>76000</v>
      </c>
      <c r="AH27" s="149">
        <v>39064</v>
      </c>
      <c r="AI27" s="149">
        <v>36936</v>
      </c>
      <c r="AJ27" s="218">
        <v>0.51400000000000001</v>
      </c>
      <c r="AK27" s="216">
        <v>75708.812260536404</v>
      </c>
      <c r="AL27" s="149">
        <v>38914.329501915709</v>
      </c>
      <c r="AM27" s="149">
        <v>36794.482758620696</v>
      </c>
      <c r="AN27" s="218">
        <v>0.51400000000000001</v>
      </c>
    </row>
    <row r="28" spans="1:40" x14ac:dyDescent="0.2">
      <c r="A28" s="215" t="s">
        <v>173</v>
      </c>
      <c r="B28" s="216">
        <v>3895.4</v>
      </c>
      <c r="C28" s="149">
        <v>2068</v>
      </c>
      <c r="D28" s="149">
        <f t="shared" si="23"/>
        <v>1827.4</v>
      </c>
      <c r="E28" s="217">
        <f t="shared" si="24"/>
        <v>0.5308825794526878</v>
      </c>
      <c r="F28" s="216">
        <v>5523.4</v>
      </c>
      <c r="G28" s="149">
        <v>3075</v>
      </c>
      <c r="H28" s="149">
        <f t="shared" si="25"/>
        <v>2448.3999999999996</v>
      </c>
      <c r="I28" s="218">
        <f t="shared" si="26"/>
        <v>0.55672230872288808</v>
      </c>
      <c r="J28" s="216">
        <v>5370.94</v>
      </c>
      <c r="K28" s="149">
        <v>2759.4298092873296</v>
      </c>
      <c r="L28" s="149">
        <f t="shared" si="27"/>
        <v>2611.51019071267</v>
      </c>
      <c r="M28" s="218">
        <f t="shared" si="28"/>
        <v>0.51377036594848013</v>
      </c>
      <c r="N28" s="216">
        <v>6220.9200000000028</v>
      </c>
      <c r="O28" s="149">
        <v>3197.5528800000016</v>
      </c>
      <c r="P28" s="149">
        <f t="shared" si="29"/>
        <v>3023.3671200000013</v>
      </c>
      <c r="Q28" s="218">
        <f t="shared" si="30"/>
        <v>0.51400000000000001</v>
      </c>
      <c r="R28" s="216">
        <v>6197.0850574712667</v>
      </c>
      <c r="S28" s="149">
        <v>3317.199639387391</v>
      </c>
      <c r="T28" s="149">
        <f t="shared" si="31"/>
        <v>2879.8854180838757</v>
      </c>
      <c r="U28" s="218">
        <f t="shared" ref="U28:U32" si="33">IF(R28&lt;&gt;0,S28/R28,0)</f>
        <v>0.53528386469185907</v>
      </c>
      <c r="V28" s="229"/>
      <c r="W28" s="216">
        <f t="shared" si="32"/>
        <v>720.9200000000028</v>
      </c>
      <c r="X28" s="149">
        <f t="shared" si="32"/>
        <v>370.55288000000155</v>
      </c>
      <c r="Y28" s="149">
        <f t="shared" si="32"/>
        <v>350.36712000000125</v>
      </c>
      <c r="Z28" s="218">
        <f t="shared" si="32"/>
        <v>0</v>
      </c>
      <c r="AA28" s="216">
        <f t="shared" si="32"/>
        <v>718.15785440613308</v>
      </c>
      <c r="AB28" s="149">
        <f t="shared" si="32"/>
        <v>501.03105701191225</v>
      </c>
      <c r="AC28" s="149">
        <f t="shared" si="32"/>
        <v>217.12679739422083</v>
      </c>
      <c r="AD28" s="218">
        <f t="shared" si="32"/>
        <v>2.1283864691859056E-2</v>
      </c>
      <c r="AF28" s="215" t="s">
        <v>173</v>
      </c>
      <c r="AG28" s="216">
        <v>5500</v>
      </c>
      <c r="AH28" s="149">
        <v>2827</v>
      </c>
      <c r="AI28" s="149">
        <v>2673</v>
      </c>
      <c r="AJ28" s="218">
        <v>0.51400000000000001</v>
      </c>
      <c r="AK28" s="216">
        <v>5478.9272030651337</v>
      </c>
      <c r="AL28" s="149">
        <v>2816.1685823754788</v>
      </c>
      <c r="AM28" s="149">
        <v>2662.7586206896549</v>
      </c>
      <c r="AN28" s="218">
        <v>0.51400000000000001</v>
      </c>
    </row>
    <row r="29" spans="1:40" x14ac:dyDescent="0.2">
      <c r="A29" s="215" t="s">
        <v>174</v>
      </c>
      <c r="B29" s="216">
        <v>256</v>
      </c>
      <c r="C29" s="149">
        <v>136</v>
      </c>
      <c r="D29" s="149">
        <f t="shared" si="23"/>
        <v>120</v>
      </c>
      <c r="E29" s="217">
        <f t="shared" si="24"/>
        <v>0.53125</v>
      </c>
      <c r="F29" s="216">
        <v>3156.4</v>
      </c>
      <c r="G29" s="149">
        <v>1757</v>
      </c>
      <c r="H29" s="149">
        <f t="shared" si="25"/>
        <v>1399.4</v>
      </c>
      <c r="I29" s="218">
        <f t="shared" si="26"/>
        <v>0.55664681282473705</v>
      </c>
      <c r="J29" s="216">
        <v>5421.2000000000007</v>
      </c>
      <c r="K29" s="149">
        <v>2785.251907879901</v>
      </c>
      <c r="L29" s="149">
        <f t="shared" si="27"/>
        <v>2635.9480921200998</v>
      </c>
      <c r="M29" s="218">
        <f t="shared" si="28"/>
        <v>0.51377036594848013</v>
      </c>
      <c r="N29" s="216">
        <v>5121.4499999999989</v>
      </c>
      <c r="O29" s="149">
        <v>2632.4252999999994</v>
      </c>
      <c r="P29" s="149">
        <f t="shared" si="29"/>
        <v>2489.0246999999995</v>
      </c>
      <c r="Q29" s="218">
        <f t="shared" si="30"/>
        <v>0.51400000000000001</v>
      </c>
      <c r="R29" s="216">
        <v>5101.8275862068958</v>
      </c>
      <c r="S29" s="149">
        <v>2730.9259873363658</v>
      </c>
      <c r="T29" s="149">
        <f t="shared" si="31"/>
        <v>2370.9015988705301</v>
      </c>
      <c r="U29" s="218">
        <f t="shared" si="33"/>
        <v>0.53528386469185907</v>
      </c>
      <c r="V29" s="229"/>
      <c r="W29" s="216">
        <f t="shared" si="32"/>
        <v>-378.55000000000109</v>
      </c>
      <c r="X29" s="149">
        <f t="shared" si="32"/>
        <v>-194.57470000000058</v>
      </c>
      <c r="Y29" s="149">
        <f t="shared" si="32"/>
        <v>-183.97530000000052</v>
      </c>
      <c r="Z29" s="218">
        <f t="shared" si="32"/>
        <v>0</v>
      </c>
      <c r="AA29" s="216">
        <f t="shared" si="32"/>
        <v>-377.09961685823782</v>
      </c>
      <c r="AB29" s="149">
        <f t="shared" si="32"/>
        <v>-85.242595039112985</v>
      </c>
      <c r="AC29" s="149">
        <f t="shared" si="32"/>
        <v>-291.85702181912484</v>
      </c>
      <c r="AD29" s="218">
        <f t="shared" si="32"/>
        <v>2.1283864691859056E-2</v>
      </c>
      <c r="AF29" s="215" t="s">
        <v>175</v>
      </c>
      <c r="AG29" s="216">
        <v>5500</v>
      </c>
      <c r="AH29" s="149">
        <v>2827</v>
      </c>
      <c r="AI29" s="149">
        <v>2673</v>
      </c>
      <c r="AJ29" s="218">
        <v>0.51400000000000001</v>
      </c>
      <c r="AK29" s="216">
        <v>5478.9272030651337</v>
      </c>
      <c r="AL29" s="149">
        <v>2816.1685823754788</v>
      </c>
      <c r="AM29" s="149">
        <v>2662.7586206896549</v>
      </c>
      <c r="AN29" s="218">
        <v>0.51400000000000001</v>
      </c>
    </row>
    <row r="30" spans="1:40" x14ac:dyDescent="0.2">
      <c r="A30" s="215" t="s">
        <v>176</v>
      </c>
      <c r="B30" s="216">
        <v>59</v>
      </c>
      <c r="C30" s="149">
        <v>31.3</v>
      </c>
      <c r="D30" s="149">
        <f t="shared" si="23"/>
        <v>27.7</v>
      </c>
      <c r="E30" s="217">
        <f t="shared" si="24"/>
        <v>0.53050847457627115</v>
      </c>
      <c r="F30" s="216">
        <v>71.400000000000006</v>
      </c>
      <c r="G30" s="149">
        <v>39.799999999999997</v>
      </c>
      <c r="H30" s="149">
        <f t="shared" si="25"/>
        <v>31.600000000000009</v>
      </c>
      <c r="I30" s="218">
        <f t="shared" si="26"/>
        <v>0.55742296918767498</v>
      </c>
      <c r="J30" s="216">
        <v>112.65000000000003</v>
      </c>
      <c r="K30" s="149">
        <v>57.8762317240963</v>
      </c>
      <c r="L30" s="149">
        <f t="shared" si="27"/>
        <v>54.773768275903734</v>
      </c>
      <c r="M30" s="218">
        <f t="shared" si="28"/>
        <v>0.51377036594848013</v>
      </c>
      <c r="N30" s="216">
        <v>98.63000000000001</v>
      </c>
      <c r="O30" s="149">
        <v>50.695820000000005</v>
      </c>
      <c r="P30" s="149">
        <f t="shared" si="29"/>
        <v>47.934180000000005</v>
      </c>
      <c r="Q30" s="218">
        <f t="shared" si="30"/>
        <v>0.51400000000000001</v>
      </c>
      <c r="R30" s="216">
        <v>98.25210727969349</v>
      </c>
      <c r="S30" s="149">
        <v>52.592767698793473</v>
      </c>
      <c r="T30" s="149">
        <f t="shared" si="31"/>
        <v>45.659339580900017</v>
      </c>
      <c r="U30" s="218">
        <f t="shared" si="33"/>
        <v>0.53528386469185907</v>
      </c>
      <c r="V30" s="229"/>
      <c r="W30" s="216">
        <f t="shared" si="32"/>
        <v>-1.3699999999999903</v>
      </c>
      <c r="X30" s="149">
        <f t="shared" si="32"/>
        <v>-0.70417999999999381</v>
      </c>
      <c r="Y30" s="149">
        <f t="shared" si="32"/>
        <v>-0.66581999999999653</v>
      </c>
      <c r="Z30" s="218">
        <f t="shared" si="32"/>
        <v>0</v>
      </c>
      <c r="AA30" s="216">
        <f t="shared" si="32"/>
        <v>-1.3647509578544117</v>
      </c>
      <c r="AB30" s="149">
        <f t="shared" si="32"/>
        <v>1.3897025646938488</v>
      </c>
      <c r="AC30" s="149">
        <f t="shared" si="32"/>
        <v>-2.7544535225482605</v>
      </c>
      <c r="AD30" s="218">
        <f t="shared" si="32"/>
        <v>2.1283864691859056E-2</v>
      </c>
      <c r="AF30" s="215" t="s">
        <v>176</v>
      </c>
      <c r="AG30" s="216">
        <v>100</v>
      </c>
      <c r="AH30" s="149">
        <v>51.4</v>
      </c>
      <c r="AI30" s="149">
        <v>48.6</v>
      </c>
      <c r="AJ30" s="218">
        <v>0.51400000000000001</v>
      </c>
      <c r="AK30" s="216">
        <v>99.616858237547902</v>
      </c>
      <c r="AL30" s="149">
        <v>51.203065134099624</v>
      </c>
      <c r="AM30" s="149">
        <v>48.413793103448278</v>
      </c>
      <c r="AN30" s="218">
        <v>0.51400000000000001</v>
      </c>
    </row>
    <row r="31" spans="1:40" x14ac:dyDescent="0.2">
      <c r="A31" s="215" t="s">
        <v>177</v>
      </c>
      <c r="B31" s="216">
        <v>0</v>
      </c>
      <c r="C31" s="149">
        <v>0</v>
      </c>
      <c r="D31" s="149">
        <f t="shared" si="23"/>
        <v>0</v>
      </c>
      <c r="E31" s="217">
        <f t="shared" si="24"/>
        <v>0</v>
      </c>
      <c r="F31" s="216">
        <v>8.8000000000000007</v>
      </c>
      <c r="G31" s="149">
        <v>4.9000000000000004</v>
      </c>
      <c r="H31" s="149">
        <f t="shared" si="25"/>
        <v>3.9000000000000004</v>
      </c>
      <c r="I31" s="218">
        <f t="shared" si="26"/>
        <v>0.55681818181818177</v>
      </c>
      <c r="J31" s="216">
        <v>0</v>
      </c>
      <c r="K31" s="149">
        <v>0</v>
      </c>
      <c r="L31" s="149">
        <f t="shared" si="27"/>
        <v>0</v>
      </c>
      <c r="M31" s="218">
        <f t="shared" si="28"/>
        <v>0</v>
      </c>
      <c r="N31" s="216">
        <v>0</v>
      </c>
      <c r="O31" s="149">
        <v>0</v>
      </c>
      <c r="P31" s="149">
        <f t="shared" si="29"/>
        <v>0</v>
      </c>
      <c r="Q31" s="218">
        <f t="shared" si="30"/>
        <v>0</v>
      </c>
      <c r="R31" s="216">
        <v>0</v>
      </c>
      <c r="S31" s="149">
        <v>0</v>
      </c>
      <c r="T31" s="149">
        <f t="shared" si="31"/>
        <v>0</v>
      </c>
      <c r="U31" s="218">
        <f t="shared" si="33"/>
        <v>0</v>
      </c>
      <c r="V31" s="229"/>
      <c r="W31" s="216">
        <f t="shared" si="32"/>
        <v>0</v>
      </c>
      <c r="X31" s="149">
        <f t="shared" si="32"/>
        <v>0</v>
      </c>
      <c r="Y31" s="149">
        <f t="shared" si="32"/>
        <v>0</v>
      </c>
      <c r="Z31" s="218">
        <f t="shared" si="32"/>
        <v>0</v>
      </c>
      <c r="AA31" s="216">
        <f t="shared" si="32"/>
        <v>0</v>
      </c>
      <c r="AB31" s="149">
        <f t="shared" si="32"/>
        <v>0</v>
      </c>
      <c r="AC31" s="149">
        <f t="shared" si="32"/>
        <v>0</v>
      </c>
      <c r="AD31" s="218">
        <f t="shared" si="32"/>
        <v>0</v>
      </c>
      <c r="AF31" s="215" t="s">
        <v>177</v>
      </c>
      <c r="AG31" s="216">
        <v>0</v>
      </c>
      <c r="AH31" s="149">
        <v>0</v>
      </c>
      <c r="AI31" s="149">
        <v>0</v>
      </c>
      <c r="AJ31" s="218">
        <v>0</v>
      </c>
      <c r="AK31" s="216">
        <v>0</v>
      </c>
      <c r="AL31" s="149">
        <v>0</v>
      </c>
      <c r="AM31" s="149">
        <v>0</v>
      </c>
      <c r="AN31" s="218">
        <v>0</v>
      </c>
    </row>
    <row r="32" spans="1:40" x14ac:dyDescent="0.2">
      <c r="A32" s="230" t="s">
        <v>181</v>
      </c>
      <c r="B32" s="232">
        <f>SUM(B27:B31)</f>
        <v>69022.8</v>
      </c>
      <c r="C32" s="233">
        <f>SUM(C27:C31)</f>
        <v>36648.300000000003</v>
      </c>
      <c r="D32" s="233">
        <f t="shared" si="23"/>
        <v>32374.5</v>
      </c>
      <c r="E32" s="224">
        <f t="shared" si="24"/>
        <v>0.53095933517620264</v>
      </c>
      <c r="F32" s="232">
        <f>SUM(F27:F31)</f>
        <v>83077.799999999988</v>
      </c>
      <c r="G32" s="233">
        <f>SUM(G27:G31)</f>
        <v>46257.500000000007</v>
      </c>
      <c r="H32" s="233">
        <f t="shared" si="25"/>
        <v>36820.299999999981</v>
      </c>
      <c r="I32" s="225">
        <f t="shared" si="26"/>
        <v>0.556797363435238</v>
      </c>
      <c r="J32" s="232">
        <f>SUM(J27:J31)</f>
        <v>86673.284999999989</v>
      </c>
      <c r="K32" s="233">
        <f>SUM(K27:K31)</f>
        <v>44530.165352406904</v>
      </c>
      <c r="L32" s="233">
        <f t="shared" si="27"/>
        <v>42143.119647593085</v>
      </c>
      <c r="M32" s="225">
        <f t="shared" si="28"/>
        <v>0.51377036594848013</v>
      </c>
      <c r="N32" s="232">
        <f>SUM(N27:N31)</f>
        <v>84555.14999999998</v>
      </c>
      <c r="O32" s="233">
        <f>SUM(O27:O31)</f>
        <v>43461.347099999999</v>
      </c>
      <c r="P32" s="233">
        <f t="shared" si="29"/>
        <v>41093.802899999981</v>
      </c>
      <c r="Q32" s="225">
        <f t="shared" si="30"/>
        <v>0.51400000000000012</v>
      </c>
      <c r="R32" s="232">
        <f>SUM(R27:R31)</f>
        <v>84231.183908045961</v>
      </c>
      <c r="S32" s="233">
        <f>SUM(S27:S31)</f>
        <v>45087.593649869566</v>
      </c>
      <c r="T32" s="233">
        <f t="shared" si="31"/>
        <v>39143.590258176395</v>
      </c>
      <c r="U32" s="225">
        <f t="shared" si="33"/>
        <v>0.53528386469185896</v>
      </c>
      <c r="V32" s="229"/>
      <c r="W32" s="232">
        <f t="shared" si="32"/>
        <v>-2544.8500000000204</v>
      </c>
      <c r="X32" s="233">
        <f t="shared" si="32"/>
        <v>-1308.0529000000024</v>
      </c>
      <c r="Y32" s="233">
        <f t="shared" si="32"/>
        <v>-1236.797100000018</v>
      </c>
      <c r="Z32" s="225">
        <f t="shared" si="32"/>
        <v>1.1102230246251565E-16</v>
      </c>
      <c r="AA32" s="232">
        <f t="shared" si="32"/>
        <v>-2535.0996168582642</v>
      </c>
      <c r="AB32" s="233">
        <f t="shared" si="32"/>
        <v>489.7239180687975</v>
      </c>
      <c r="AC32" s="233">
        <f t="shared" si="32"/>
        <v>-3024.8235349270617</v>
      </c>
      <c r="AD32" s="225">
        <f t="shared" si="32"/>
        <v>2.1283864691858945E-2</v>
      </c>
      <c r="AF32" s="230" t="s">
        <v>182</v>
      </c>
      <c r="AG32" s="232">
        <v>87100</v>
      </c>
      <c r="AH32" s="233">
        <v>44769.4</v>
      </c>
      <c r="AI32" s="233">
        <v>42330.6</v>
      </c>
      <c r="AJ32" s="225">
        <v>0.51400000000000001</v>
      </c>
      <c r="AK32" s="232">
        <v>86766.283524904225</v>
      </c>
      <c r="AL32" s="233">
        <v>44597.869731800769</v>
      </c>
      <c r="AM32" s="233">
        <v>42168.413793103457</v>
      </c>
      <c r="AN32" s="225">
        <v>0.51400000000000001</v>
      </c>
    </row>
    <row r="33" spans="1:40" x14ac:dyDescent="0.2">
      <c r="A33" s="226"/>
      <c r="B33" s="216"/>
      <c r="C33" s="149"/>
      <c r="D33" s="149"/>
      <c r="E33" s="217"/>
      <c r="F33" s="216"/>
      <c r="G33" s="149"/>
      <c r="H33" s="149"/>
      <c r="I33" s="218"/>
      <c r="J33" s="216"/>
      <c r="K33" s="149"/>
      <c r="L33" s="149"/>
      <c r="M33" s="218"/>
      <c r="N33" s="216"/>
      <c r="O33" s="149"/>
      <c r="P33" s="149"/>
      <c r="Q33" s="218"/>
      <c r="R33" s="216"/>
      <c r="S33" s="149"/>
      <c r="T33" s="149"/>
      <c r="U33" s="218"/>
      <c r="V33" s="229"/>
      <c r="W33" s="216"/>
      <c r="X33" s="149"/>
      <c r="Y33" s="149"/>
      <c r="Z33" s="218"/>
      <c r="AA33" s="216"/>
      <c r="AB33" s="149"/>
      <c r="AC33" s="149"/>
      <c r="AD33" s="218"/>
      <c r="AF33" s="226"/>
      <c r="AG33" s="216"/>
      <c r="AH33" s="149"/>
      <c r="AI33" s="149"/>
      <c r="AJ33" s="218"/>
      <c r="AK33" s="216"/>
      <c r="AL33" s="149"/>
      <c r="AM33" s="149"/>
      <c r="AN33" s="218"/>
    </row>
    <row r="34" spans="1:40" x14ac:dyDescent="0.2">
      <c r="A34" s="203" t="s">
        <v>183</v>
      </c>
      <c r="B34" s="227"/>
      <c r="C34" s="228"/>
      <c r="D34" s="228"/>
      <c r="E34" s="217"/>
      <c r="F34" s="227"/>
      <c r="G34" s="228"/>
      <c r="H34" s="228"/>
      <c r="I34" s="218"/>
      <c r="J34" s="227"/>
      <c r="K34" s="228"/>
      <c r="L34" s="228"/>
      <c r="M34" s="218"/>
      <c r="N34" s="227"/>
      <c r="O34" s="228"/>
      <c r="P34" s="228"/>
      <c r="Q34" s="218"/>
      <c r="R34" s="227"/>
      <c r="S34" s="228"/>
      <c r="T34" s="228"/>
      <c r="U34" s="218"/>
      <c r="V34" s="229"/>
      <c r="W34" s="227"/>
      <c r="X34" s="228"/>
      <c r="Y34" s="228"/>
      <c r="Z34" s="218"/>
      <c r="AA34" s="227"/>
      <c r="AB34" s="228"/>
      <c r="AC34" s="228"/>
      <c r="AD34" s="218"/>
      <c r="AF34" s="203" t="s">
        <v>184</v>
      </c>
      <c r="AG34" s="227"/>
      <c r="AH34" s="228"/>
      <c r="AI34" s="228"/>
      <c r="AJ34" s="218"/>
      <c r="AK34" s="227"/>
      <c r="AL34" s="228"/>
      <c r="AM34" s="228"/>
      <c r="AN34" s="218"/>
    </row>
    <row r="35" spans="1:40" x14ac:dyDescent="0.2">
      <c r="A35" s="215" t="s">
        <v>173</v>
      </c>
      <c r="B35" s="234">
        <v>8846</v>
      </c>
      <c r="C35" s="235">
        <v>3805</v>
      </c>
      <c r="D35" s="149">
        <f t="shared" ref="D35:D47" si="34">+B35-C35</f>
        <v>5041</v>
      </c>
      <c r="E35" s="217">
        <f t="shared" ref="E35:E47" si="35">IF(B35&lt;&gt;0,C35/B35,0)</f>
        <v>0.43013791544200769</v>
      </c>
      <c r="F35" s="234">
        <v>9080</v>
      </c>
      <c r="G35" s="235">
        <v>3567</v>
      </c>
      <c r="H35" s="149">
        <f t="shared" ref="H35:H47" si="36">+F35-G35</f>
        <v>5513</v>
      </c>
      <c r="I35" s="218">
        <f t="shared" ref="I35:I47" si="37">IF(F35&lt;&gt;0,G35/F35,0)</f>
        <v>0.39284140969162995</v>
      </c>
      <c r="J35" s="234">
        <v>11719.410000000016</v>
      </c>
      <c r="K35" s="235">
        <v>3244.713218725039</v>
      </c>
      <c r="L35" s="149">
        <f t="shared" ref="L35:L47" si="38">+J35-K35</f>
        <v>8474.6967812749772</v>
      </c>
      <c r="M35" s="218">
        <f t="shared" ref="M35:M47" si="39">IF(J35&lt;&gt;0,K35/J35,0)</f>
        <v>0.27686660153753767</v>
      </c>
      <c r="N35" s="234">
        <v>12619.000000000015</v>
      </c>
      <c r="O35" s="235">
        <v>3959.3582973252383</v>
      </c>
      <c r="P35" s="149">
        <f t="shared" ref="P35:P47" si="40">+N35-O35</f>
        <v>8659.6417026747768</v>
      </c>
      <c r="Q35" s="218">
        <f t="shared" ref="Q35:Q47" si="41">IF(N35&lt;&gt;0,O35/N35,0)</f>
        <v>0.31376165285087831</v>
      </c>
      <c r="R35" s="234">
        <v>12570.651340996183</v>
      </c>
      <c r="S35" s="235">
        <v>3712.2909290289881</v>
      </c>
      <c r="T35" s="149">
        <f t="shared" ref="T35:T47" si="42">+R35-S35</f>
        <v>8858.3604119671945</v>
      </c>
      <c r="U35" s="218">
        <f>IF(R35&lt;&gt;0,S35/R35,0)</f>
        <v>0.29531412719420802</v>
      </c>
      <c r="V35" s="229"/>
      <c r="W35" s="234">
        <f t="shared" ref="W35:AD47" si="43">IFERROR(N35-AG35,"")</f>
        <v>619.00000000001455</v>
      </c>
      <c r="X35" s="235">
        <f t="shared" si="43"/>
        <v>635.3582973252378</v>
      </c>
      <c r="Y35" s="149">
        <f t="shared" si="43"/>
        <v>-16.358297325223248</v>
      </c>
      <c r="Z35" s="218">
        <f t="shared" si="43"/>
        <v>3.676165285087829E-2</v>
      </c>
      <c r="AA35" s="234">
        <f t="shared" si="43"/>
        <v>616.62835249043565</v>
      </c>
      <c r="AB35" s="235">
        <f t="shared" si="43"/>
        <v>401.02656121289601</v>
      </c>
      <c r="AC35" s="149">
        <f t="shared" si="43"/>
        <v>215.60179127753872</v>
      </c>
      <c r="AD35" s="218">
        <f t="shared" si="43"/>
        <v>1.8314127194207996E-2</v>
      </c>
      <c r="AF35" s="215" t="s">
        <v>173</v>
      </c>
      <c r="AG35" s="234">
        <v>12000</v>
      </c>
      <c r="AH35" s="235">
        <v>3324.0000000000005</v>
      </c>
      <c r="AI35" s="149">
        <v>8676</v>
      </c>
      <c r="AJ35" s="218">
        <v>0.27700000000000002</v>
      </c>
      <c r="AK35" s="234">
        <v>11954.022988505747</v>
      </c>
      <c r="AL35" s="235">
        <v>3311.2643678160921</v>
      </c>
      <c r="AM35" s="149">
        <v>8642.7586206896558</v>
      </c>
      <c r="AN35" s="218">
        <v>0.27700000000000002</v>
      </c>
    </row>
    <row r="36" spans="1:40" x14ac:dyDescent="0.2">
      <c r="A36" s="215" t="s">
        <v>174</v>
      </c>
      <c r="B36" s="234">
        <v>22492.400000000001</v>
      </c>
      <c r="C36" s="235">
        <v>8180.4</v>
      </c>
      <c r="D36" s="149">
        <f t="shared" si="34"/>
        <v>14312.000000000002</v>
      </c>
      <c r="E36" s="217">
        <f t="shared" si="35"/>
        <v>0.36369618182141522</v>
      </c>
      <c r="F36" s="234">
        <v>20563</v>
      </c>
      <c r="G36" s="235">
        <v>4724</v>
      </c>
      <c r="H36" s="149">
        <f t="shared" si="36"/>
        <v>15839</v>
      </c>
      <c r="I36" s="218">
        <f t="shared" si="37"/>
        <v>0.22973301561056267</v>
      </c>
      <c r="J36" s="234">
        <v>21238.37999999999</v>
      </c>
      <c r="K36" s="235">
        <v>2963.6845609795705</v>
      </c>
      <c r="L36" s="149">
        <f t="shared" si="38"/>
        <v>18274.695439020419</v>
      </c>
      <c r="M36" s="218">
        <f t="shared" si="39"/>
        <v>0.13954381459318327</v>
      </c>
      <c r="N36" s="234">
        <v>22732.32</v>
      </c>
      <c r="O36" s="235">
        <v>3827.7335933797999</v>
      </c>
      <c r="P36" s="149">
        <f t="shared" si="40"/>
        <v>18904.586406620201</v>
      </c>
      <c r="Q36" s="218">
        <f t="shared" si="41"/>
        <v>0.1683828836379129</v>
      </c>
      <c r="R36" s="234">
        <v>22645.222988505746</v>
      </c>
      <c r="S36" s="235">
        <v>3486.5343727787458</v>
      </c>
      <c r="T36" s="149">
        <f t="shared" si="42"/>
        <v>19158.688615726998</v>
      </c>
      <c r="U36" s="218">
        <f t="shared" ref="U36:U47" si="44">IF(R36&lt;&gt;0,S36/R36,0)</f>
        <v>0.1539633491155481</v>
      </c>
      <c r="V36" s="229"/>
      <c r="W36" s="234">
        <f t="shared" si="43"/>
        <v>1732.3199999999997</v>
      </c>
      <c r="X36" s="235">
        <f t="shared" si="43"/>
        <v>887.73359337979946</v>
      </c>
      <c r="Y36" s="149">
        <f t="shared" si="43"/>
        <v>844.58640662020116</v>
      </c>
      <c r="Z36" s="218">
        <f t="shared" si="43"/>
        <v>2.8382883637912887E-2</v>
      </c>
      <c r="AA36" s="234">
        <f t="shared" si="43"/>
        <v>1725.6827586206891</v>
      </c>
      <c r="AB36" s="235">
        <f t="shared" si="43"/>
        <v>557.79874059483745</v>
      </c>
      <c r="AC36" s="149">
        <f t="shared" si="43"/>
        <v>1167.8840180258485</v>
      </c>
      <c r="AD36" s="218">
        <f t="shared" si="43"/>
        <v>1.3963349115548085E-2</v>
      </c>
      <c r="AF36" s="215" t="s">
        <v>175</v>
      </c>
      <c r="AG36" s="234">
        <v>21000</v>
      </c>
      <c r="AH36" s="235">
        <v>2940.0000000000005</v>
      </c>
      <c r="AI36" s="149">
        <v>18060</v>
      </c>
      <c r="AJ36" s="218">
        <v>0.14000000000000001</v>
      </c>
      <c r="AK36" s="234">
        <v>20919.540229885057</v>
      </c>
      <c r="AL36" s="235">
        <v>2928.7356321839084</v>
      </c>
      <c r="AM36" s="149">
        <v>17990.80459770115</v>
      </c>
      <c r="AN36" s="218">
        <v>0.14000000000000001</v>
      </c>
    </row>
    <row r="37" spans="1:40" x14ac:dyDescent="0.2">
      <c r="A37" s="215" t="s">
        <v>176</v>
      </c>
      <c r="B37" s="234">
        <v>4124</v>
      </c>
      <c r="C37" s="235">
        <v>193</v>
      </c>
      <c r="D37" s="149">
        <f t="shared" si="34"/>
        <v>3931</v>
      </c>
      <c r="E37" s="217">
        <f t="shared" si="35"/>
        <v>4.6799224054316198E-2</v>
      </c>
      <c r="F37" s="234">
        <v>4312</v>
      </c>
      <c r="G37" s="235">
        <v>252</v>
      </c>
      <c r="H37" s="149">
        <f t="shared" si="36"/>
        <v>4060</v>
      </c>
      <c r="I37" s="218">
        <f t="shared" si="37"/>
        <v>5.844155844155844E-2</v>
      </c>
      <c r="J37" s="234">
        <v>4251.9599999999991</v>
      </c>
      <c r="K37" s="235">
        <v>73.969439020428922</v>
      </c>
      <c r="L37" s="149">
        <f t="shared" si="38"/>
        <v>4177.9905609795705</v>
      </c>
      <c r="M37" s="218">
        <f t="shared" si="39"/>
        <v>1.7396551007165858E-2</v>
      </c>
      <c r="N37" s="234">
        <v>4384.0900000000011</v>
      </c>
      <c r="O37" s="235">
        <v>10.349406620197882</v>
      </c>
      <c r="P37" s="149">
        <f t="shared" si="40"/>
        <v>4373.7405933798036</v>
      </c>
      <c r="Q37" s="218">
        <f t="shared" si="41"/>
        <v>2.360673850262627E-3</v>
      </c>
      <c r="R37" s="234">
        <v>4367.2927203065146</v>
      </c>
      <c r="S37" s="235">
        <v>43.142792146653171</v>
      </c>
      <c r="T37" s="149">
        <f t="shared" si="42"/>
        <v>4324.1499281598617</v>
      </c>
      <c r="U37" s="218">
        <f t="shared" si="44"/>
        <v>9.8786124287142431E-3</v>
      </c>
      <c r="V37" s="229"/>
      <c r="W37" s="234">
        <f t="shared" si="43"/>
        <v>384.09000000000106</v>
      </c>
      <c r="X37" s="235">
        <f t="shared" si="43"/>
        <v>-57.650593379802118</v>
      </c>
      <c r="Y37" s="149">
        <f t="shared" si="43"/>
        <v>441.74059337980361</v>
      </c>
      <c r="Z37" s="218">
        <f t="shared" si="43"/>
        <v>-1.4639326149737375E-2</v>
      </c>
      <c r="AA37" s="234">
        <f t="shared" si="43"/>
        <v>382.61839080459913</v>
      </c>
      <c r="AB37" s="235">
        <f t="shared" si="43"/>
        <v>-24.596671454879392</v>
      </c>
      <c r="AC37" s="149">
        <f t="shared" si="43"/>
        <v>407.2150622594786</v>
      </c>
      <c r="AD37" s="218">
        <f t="shared" si="43"/>
        <v>-7.1213875712857581E-3</v>
      </c>
      <c r="AF37" s="215" t="s">
        <v>176</v>
      </c>
      <c r="AG37" s="234">
        <v>4000</v>
      </c>
      <c r="AH37" s="235">
        <v>68</v>
      </c>
      <c r="AI37" s="149">
        <v>3932</v>
      </c>
      <c r="AJ37" s="218">
        <v>1.7000000000000001E-2</v>
      </c>
      <c r="AK37" s="234">
        <v>3984.6743295019155</v>
      </c>
      <c r="AL37" s="235">
        <v>67.739463601532563</v>
      </c>
      <c r="AM37" s="149">
        <v>3916.9348659003831</v>
      </c>
      <c r="AN37" s="218">
        <v>1.7000000000000001E-2</v>
      </c>
    </row>
    <row r="38" spans="1:40" x14ac:dyDescent="0.2">
      <c r="A38" s="219" t="s">
        <v>185</v>
      </c>
      <c r="B38" s="234">
        <v>19365</v>
      </c>
      <c r="C38" s="235">
        <v>0</v>
      </c>
      <c r="D38" s="149">
        <f t="shared" si="34"/>
        <v>19365</v>
      </c>
      <c r="E38" s="217">
        <f t="shared" si="35"/>
        <v>0</v>
      </c>
      <c r="F38" s="234">
        <v>19365</v>
      </c>
      <c r="G38" s="235">
        <v>0</v>
      </c>
      <c r="H38" s="149">
        <f t="shared" si="36"/>
        <v>19365</v>
      </c>
      <c r="I38" s="218">
        <f t="shared" si="37"/>
        <v>0</v>
      </c>
      <c r="J38" s="234">
        <v>19365.36</v>
      </c>
      <c r="K38" s="235">
        <v>0</v>
      </c>
      <c r="L38" s="149">
        <f t="shared" si="38"/>
        <v>19365.36</v>
      </c>
      <c r="M38" s="218">
        <f t="shared" si="39"/>
        <v>0</v>
      </c>
      <c r="N38" s="234">
        <v>19365.36</v>
      </c>
      <c r="O38" s="235">
        <v>0</v>
      </c>
      <c r="P38" s="149">
        <f t="shared" si="40"/>
        <v>19365.36</v>
      </c>
      <c r="Q38" s="218">
        <f t="shared" si="41"/>
        <v>0</v>
      </c>
      <c r="R38" s="234">
        <v>19291.163218390804</v>
      </c>
      <c r="S38" s="235">
        <v>0</v>
      </c>
      <c r="T38" s="149">
        <f t="shared" si="42"/>
        <v>19291.163218390804</v>
      </c>
      <c r="U38" s="218">
        <f t="shared" si="44"/>
        <v>0</v>
      </c>
      <c r="V38" s="229"/>
      <c r="W38" s="234">
        <f t="shared" si="43"/>
        <v>-634.63999999999942</v>
      </c>
      <c r="X38" s="235">
        <f t="shared" si="43"/>
        <v>0</v>
      </c>
      <c r="Y38" s="149">
        <f t="shared" si="43"/>
        <v>-634.63999999999942</v>
      </c>
      <c r="Z38" s="218">
        <f t="shared" si="43"/>
        <v>0</v>
      </c>
      <c r="AA38" s="234">
        <f t="shared" si="43"/>
        <v>-632.2084291187748</v>
      </c>
      <c r="AB38" s="235">
        <f t="shared" si="43"/>
        <v>0</v>
      </c>
      <c r="AC38" s="149">
        <f t="shared" si="43"/>
        <v>-632.2084291187748</v>
      </c>
      <c r="AD38" s="218">
        <f t="shared" si="43"/>
        <v>0</v>
      </c>
      <c r="AF38" s="215" t="s">
        <v>186</v>
      </c>
      <c r="AG38" s="234">
        <v>20000</v>
      </c>
      <c r="AH38" s="235">
        <v>0</v>
      </c>
      <c r="AI38" s="149">
        <v>20000</v>
      </c>
      <c r="AJ38" s="218">
        <v>0</v>
      </c>
      <c r="AK38" s="234">
        <v>19923.371647509579</v>
      </c>
      <c r="AL38" s="235">
        <v>0</v>
      </c>
      <c r="AM38" s="149">
        <v>19923.371647509579</v>
      </c>
      <c r="AN38" s="218">
        <v>0</v>
      </c>
    </row>
    <row r="39" spans="1:40" x14ac:dyDescent="0.2">
      <c r="A39" s="215" t="s">
        <v>177</v>
      </c>
      <c r="B39" s="234">
        <v>32657.4</v>
      </c>
      <c r="C39" s="235">
        <v>16378.4</v>
      </c>
      <c r="D39" s="149">
        <f t="shared" si="34"/>
        <v>16279.000000000002</v>
      </c>
      <c r="E39" s="217">
        <f t="shared" si="35"/>
        <v>0.50152186028281487</v>
      </c>
      <c r="F39" s="234">
        <v>34493</v>
      </c>
      <c r="G39" s="235">
        <v>15641</v>
      </c>
      <c r="H39" s="149">
        <f t="shared" si="36"/>
        <v>18852</v>
      </c>
      <c r="I39" s="218">
        <f t="shared" si="37"/>
        <v>0.45345432406575248</v>
      </c>
      <c r="J39" s="234">
        <v>37742.74</v>
      </c>
      <c r="K39" s="235">
        <v>15291.111641274962</v>
      </c>
      <c r="L39" s="149">
        <f t="shared" si="38"/>
        <v>22451.628358725036</v>
      </c>
      <c r="M39" s="218">
        <f t="shared" si="39"/>
        <v>0.4051404757915022</v>
      </c>
      <c r="N39" s="234">
        <v>37969.630000000005</v>
      </c>
      <c r="O39" s="235">
        <v>15977.743992674761</v>
      </c>
      <c r="P39" s="149">
        <f t="shared" si="40"/>
        <v>21991.886007325244</v>
      </c>
      <c r="Q39" s="218">
        <f t="shared" si="41"/>
        <v>0.42080325756860837</v>
      </c>
      <c r="R39" s="234">
        <v>37824.15249042146</v>
      </c>
      <c r="S39" s="235">
        <v>15620.310859560412</v>
      </c>
      <c r="T39" s="149">
        <f t="shared" si="42"/>
        <v>22203.841630861047</v>
      </c>
      <c r="U39" s="218">
        <f t="shared" si="44"/>
        <v>0.41297186668005526</v>
      </c>
      <c r="V39" s="229"/>
      <c r="W39" s="234">
        <f t="shared" si="43"/>
        <v>-30.369999999995343</v>
      </c>
      <c r="X39" s="235">
        <f t="shared" si="43"/>
        <v>587.74399267475928</v>
      </c>
      <c r="Y39" s="149">
        <f t="shared" si="43"/>
        <v>-618.11399267475645</v>
      </c>
      <c r="Z39" s="218">
        <f t="shared" si="43"/>
        <v>1.5803257568608342E-2</v>
      </c>
      <c r="AA39" s="234">
        <f t="shared" si="43"/>
        <v>-30.253639846741862</v>
      </c>
      <c r="AB39" s="235">
        <f t="shared" si="43"/>
        <v>289.2763768017885</v>
      </c>
      <c r="AC39" s="149">
        <f t="shared" si="43"/>
        <v>-319.53001664853218</v>
      </c>
      <c r="AD39" s="218">
        <f t="shared" si="43"/>
        <v>7.9718666800552285E-3</v>
      </c>
      <c r="AF39" s="215" t="s">
        <v>177</v>
      </c>
      <c r="AG39" s="234">
        <v>38000</v>
      </c>
      <c r="AH39" s="235">
        <v>15390.000000000002</v>
      </c>
      <c r="AI39" s="149">
        <v>22610</v>
      </c>
      <c r="AJ39" s="218">
        <v>0.40500000000000003</v>
      </c>
      <c r="AK39" s="234">
        <v>37854.406130268202</v>
      </c>
      <c r="AL39" s="235">
        <v>15331.034482758623</v>
      </c>
      <c r="AM39" s="149">
        <v>22523.371647509579</v>
      </c>
      <c r="AN39" s="218">
        <v>0.40500000000000003</v>
      </c>
    </row>
    <row r="40" spans="1:40" x14ac:dyDescent="0.2">
      <c r="A40" s="219" t="s">
        <v>167</v>
      </c>
      <c r="B40" s="234">
        <v>4732</v>
      </c>
      <c r="C40" s="235">
        <v>2893.261390227116</v>
      </c>
      <c r="D40" s="149">
        <f t="shared" si="34"/>
        <v>1838.738609772884</v>
      </c>
      <c r="E40" s="217">
        <f t="shared" si="35"/>
        <v>0.61142463867859598</v>
      </c>
      <c r="F40" s="234">
        <v>5714.22</v>
      </c>
      <c r="G40" s="235">
        <v>3620.9876021437585</v>
      </c>
      <c r="H40" s="149">
        <f t="shared" si="36"/>
        <v>2093.2323978562417</v>
      </c>
      <c r="I40" s="218">
        <f t="shared" si="37"/>
        <v>0.63368011769651122</v>
      </c>
      <c r="J40" s="234">
        <v>6793.04</v>
      </c>
      <c r="K40" s="235">
        <v>4145.8678861424869</v>
      </c>
      <c r="L40" s="149">
        <f t="shared" si="38"/>
        <v>2647.1721138575131</v>
      </c>
      <c r="M40" s="218">
        <f t="shared" si="39"/>
        <v>0.61031112523148501</v>
      </c>
      <c r="N40" s="234">
        <v>7469.15</v>
      </c>
      <c r="O40" s="235">
        <v>4326.551469988387</v>
      </c>
      <c r="P40" s="149">
        <f t="shared" si="40"/>
        <v>3142.5985300116126</v>
      </c>
      <c r="Q40" s="218">
        <f t="shared" si="41"/>
        <v>0.5792562031808689</v>
      </c>
      <c r="R40" s="234">
        <v>7440.5325670498087</v>
      </c>
      <c r="S40" s="235">
        <v>4425.5072238752773</v>
      </c>
      <c r="T40" s="149">
        <f t="shared" si="42"/>
        <v>3015.0253431745314</v>
      </c>
      <c r="U40" s="218">
        <f t="shared" si="44"/>
        <v>0.59478366420617701</v>
      </c>
      <c r="V40" s="229"/>
      <c r="W40" s="234">
        <f t="shared" si="43"/>
        <v>-3580.8500000000004</v>
      </c>
      <c r="X40" s="235">
        <f t="shared" si="43"/>
        <v>-2422.448530011613</v>
      </c>
      <c r="Y40" s="149">
        <f t="shared" si="43"/>
        <v>-1158.4014699883874</v>
      </c>
      <c r="Z40" s="218">
        <f t="shared" si="43"/>
        <v>-3.151302758836183E-2</v>
      </c>
      <c r="AA40" s="234">
        <f t="shared" si="43"/>
        <v>-3567.130268199232</v>
      </c>
      <c r="AB40" s="235">
        <f t="shared" si="43"/>
        <v>-2297.63453857683</v>
      </c>
      <c r="AC40" s="149">
        <f t="shared" si="43"/>
        <v>-1269.495729622402</v>
      </c>
      <c r="AD40" s="218">
        <f t="shared" si="43"/>
        <v>-1.5985566563053832E-2</v>
      </c>
      <c r="AF40" s="219" t="s">
        <v>169</v>
      </c>
      <c r="AG40" s="234">
        <v>11050</v>
      </c>
      <c r="AH40" s="235">
        <v>6749</v>
      </c>
      <c r="AI40" s="149">
        <v>4301</v>
      </c>
      <c r="AJ40" s="218">
        <v>0.61076923076923073</v>
      </c>
      <c r="AK40" s="234">
        <v>11007.662835249041</v>
      </c>
      <c r="AL40" s="235">
        <v>6723.1417624521073</v>
      </c>
      <c r="AM40" s="149">
        <v>4284.5210727969334</v>
      </c>
      <c r="AN40" s="218">
        <v>0.61076923076923084</v>
      </c>
    </row>
    <row r="41" spans="1:40" x14ac:dyDescent="0.2">
      <c r="A41" s="219" t="s">
        <v>168</v>
      </c>
      <c r="B41" s="234">
        <v>3986</v>
      </c>
      <c r="C41" s="235">
        <v>2437.1630667584304</v>
      </c>
      <c r="D41" s="149">
        <f t="shared" si="34"/>
        <v>1548.8369332415696</v>
      </c>
      <c r="E41" s="217">
        <f t="shared" si="35"/>
        <v>0.61143077440000759</v>
      </c>
      <c r="F41" s="234">
        <v>3801.7799999999997</v>
      </c>
      <c r="G41" s="235">
        <v>2408.9539778268186</v>
      </c>
      <c r="H41" s="149">
        <f t="shared" si="36"/>
        <v>1392.8260221731812</v>
      </c>
      <c r="I41" s="218">
        <f t="shared" si="37"/>
        <v>0.63363844773417155</v>
      </c>
      <c r="J41" s="234">
        <v>4296.9800000000059</v>
      </c>
      <c r="K41" s="235">
        <v>2622.494698897186</v>
      </c>
      <c r="L41" s="149">
        <f t="shared" si="38"/>
        <v>1674.4853011028199</v>
      </c>
      <c r="M41" s="218">
        <f t="shared" si="39"/>
        <v>0.61031112523148412</v>
      </c>
      <c r="N41" s="234">
        <v>4491.5200000000004</v>
      </c>
      <c r="O41" s="235">
        <v>2601.7408217109364</v>
      </c>
      <c r="P41" s="149">
        <f t="shared" si="40"/>
        <v>1889.779178289064</v>
      </c>
      <c r="Q41" s="218">
        <f t="shared" si="41"/>
        <v>0.5792562031808689</v>
      </c>
      <c r="R41" s="234">
        <v>4474.3111111111111</v>
      </c>
      <c r="S41" s="235">
        <v>2661.2471574650758</v>
      </c>
      <c r="T41" s="149">
        <f t="shared" si="42"/>
        <v>1813.0639536460353</v>
      </c>
      <c r="U41" s="218">
        <f t="shared" si="44"/>
        <v>0.59478366420617657</v>
      </c>
      <c r="V41" s="229"/>
      <c r="W41" s="234">
        <f t="shared" si="43"/>
        <v>4491.5200000000004</v>
      </c>
      <c r="X41" s="235">
        <f t="shared" si="43"/>
        <v>2601.7408217109364</v>
      </c>
      <c r="Y41" s="149">
        <f t="shared" si="43"/>
        <v>1889.779178289064</v>
      </c>
      <c r="Z41" s="218">
        <f t="shared" si="43"/>
        <v>0.5792562031808689</v>
      </c>
      <c r="AA41" s="234">
        <f t="shared" si="43"/>
        <v>4474.3111111111111</v>
      </c>
      <c r="AB41" s="235">
        <f t="shared" si="43"/>
        <v>2661.2471574650758</v>
      </c>
      <c r="AC41" s="149">
        <f t="shared" si="43"/>
        <v>1813.0639536460353</v>
      </c>
      <c r="AD41" s="218">
        <f t="shared" si="43"/>
        <v>0.59478366420617657</v>
      </c>
      <c r="AF41" s="219"/>
      <c r="AG41" s="234"/>
      <c r="AH41" s="235"/>
      <c r="AI41" s="149"/>
      <c r="AJ41" s="218"/>
      <c r="AK41" s="234"/>
      <c r="AL41" s="235"/>
      <c r="AM41" s="149"/>
      <c r="AN41" s="218"/>
    </row>
    <row r="42" spans="1:40" x14ac:dyDescent="0.2">
      <c r="A42" s="219" t="s">
        <v>187</v>
      </c>
      <c r="B42" s="234">
        <v>25908</v>
      </c>
      <c r="C42" s="235">
        <v>25908</v>
      </c>
      <c r="D42" s="149">
        <f t="shared" si="34"/>
        <v>0</v>
      </c>
      <c r="E42" s="217">
        <f t="shared" si="35"/>
        <v>1</v>
      </c>
      <c r="F42" s="234">
        <v>28312.400000000001</v>
      </c>
      <c r="G42" s="235">
        <v>28312.400000000001</v>
      </c>
      <c r="H42" s="149">
        <f t="shared" si="36"/>
        <v>0</v>
      </c>
      <c r="I42" s="218">
        <f t="shared" si="37"/>
        <v>1</v>
      </c>
      <c r="J42" s="234">
        <v>25696.53</v>
      </c>
      <c r="K42" s="235">
        <v>25696.53</v>
      </c>
      <c r="L42" s="149">
        <f t="shared" si="38"/>
        <v>0</v>
      </c>
      <c r="M42" s="218">
        <f t="shared" si="39"/>
        <v>1</v>
      </c>
      <c r="N42" s="234">
        <v>24932.689999999995</v>
      </c>
      <c r="O42" s="235">
        <v>24932.689999999995</v>
      </c>
      <c r="P42" s="149">
        <f t="shared" si="40"/>
        <v>0</v>
      </c>
      <c r="Q42" s="218">
        <f t="shared" si="41"/>
        <v>1</v>
      </c>
      <c r="R42" s="234">
        <v>24837.162452107277</v>
      </c>
      <c r="S42" s="235">
        <v>24837.162452107277</v>
      </c>
      <c r="T42" s="149">
        <f t="shared" si="42"/>
        <v>0</v>
      </c>
      <c r="U42" s="218">
        <f t="shared" si="44"/>
        <v>1</v>
      </c>
      <c r="V42" s="229"/>
      <c r="W42" s="234">
        <f t="shared" si="43"/>
        <v>-967.31000000000495</v>
      </c>
      <c r="X42" s="235">
        <f t="shared" si="43"/>
        <v>-967.31000000000495</v>
      </c>
      <c r="Y42" s="149">
        <f t="shared" si="43"/>
        <v>0</v>
      </c>
      <c r="Z42" s="218">
        <f t="shared" si="43"/>
        <v>0</v>
      </c>
      <c r="AA42" s="234">
        <f t="shared" si="43"/>
        <v>-963.60383141762577</v>
      </c>
      <c r="AB42" s="235">
        <f t="shared" si="43"/>
        <v>-963.60383141762577</v>
      </c>
      <c r="AC42" s="149">
        <f t="shared" si="43"/>
        <v>0</v>
      </c>
      <c r="AD42" s="218">
        <f t="shared" si="43"/>
        <v>0</v>
      </c>
      <c r="AF42" s="219" t="s">
        <v>187</v>
      </c>
      <c r="AG42" s="234">
        <v>25900</v>
      </c>
      <c r="AH42" s="235">
        <v>25900</v>
      </c>
      <c r="AI42" s="149">
        <v>0</v>
      </c>
      <c r="AJ42" s="218">
        <v>1</v>
      </c>
      <c r="AK42" s="234">
        <v>25800.766283524903</v>
      </c>
      <c r="AL42" s="235">
        <v>25800.766283524903</v>
      </c>
      <c r="AM42" s="149">
        <v>0</v>
      </c>
      <c r="AN42" s="218">
        <v>1</v>
      </c>
    </row>
    <row r="43" spans="1:40" x14ac:dyDescent="0.2">
      <c r="A43" s="215" t="s">
        <v>188</v>
      </c>
      <c r="B43" s="234">
        <v>1630</v>
      </c>
      <c r="C43" s="235">
        <v>1630</v>
      </c>
      <c r="D43" s="149">
        <f t="shared" si="34"/>
        <v>0</v>
      </c>
      <c r="E43" s="217">
        <f t="shared" si="35"/>
        <v>1</v>
      </c>
      <c r="F43" s="234">
        <v>937</v>
      </c>
      <c r="G43" s="235">
        <v>937</v>
      </c>
      <c r="H43" s="149">
        <f t="shared" si="36"/>
        <v>0</v>
      </c>
      <c r="I43" s="218">
        <f t="shared" si="37"/>
        <v>1</v>
      </c>
      <c r="J43" s="234">
        <v>254.01999999999998</v>
      </c>
      <c r="K43" s="235">
        <v>254.01999999999998</v>
      </c>
      <c r="L43" s="149">
        <f t="shared" si="38"/>
        <v>0</v>
      </c>
      <c r="M43" s="218">
        <f t="shared" si="39"/>
        <v>1</v>
      </c>
      <c r="N43" s="234">
        <v>665.19</v>
      </c>
      <c r="O43" s="235">
        <v>665.19</v>
      </c>
      <c r="P43" s="149">
        <f t="shared" si="40"/>
        <v>0</v>
      </c>
      <c r="Q43" s="218">
        <f t="shared" si="41"/>
        <v>1</v>
      </c>
      <c r="R43" s="234">
        <v>662.64137931034486</v>
      </c>
      <c r="S43" s="235">
        <v>662.64137931034486</v>
      </c>
      <c r="T43" s="149">
        <f t="shared" si="42"/>
        <v>0</v>
      </c>
      <c r="U43" s="218">
        <f t="shared" si="44"/>
        <v>1</v>
      </c>
      <c r="V43" s="229"/>
      <c r="W43" s="234">
        <f t="shared" si="43"/>
        <v>415.19000000000005</v>
      </c>
      <c r="X43" s="235">
        <f t="shared" si="43"/>
        <v>415.19000000000005</v>
      </c>
      <c r="Y43" s="149">
        <f t="shared" si="43"/>
        <v>0</v>
      </c>
      <c r="Z43" s="218">
        <f t="shared" si="43"/>
        <v>0</v>
      </c>
      <c r="AA43" s="234">
        <f t="shared" si="43"/>
        <v>413.59923371647517</v>
      </c>
      <c r="AB43" s="235">
        <f t="shared" si="43"/>
        <v>413.59923371647517</v>
      </c>
      <c r="AC43" s="149">
        <f t="shared" si="43"/>
        <v>0</v>
      </c>
      <c r="AD43" s="218">
        <f t="shared" si="43"/>
        <v>0</v>
      </c>
      <c r="AF43" s="215" t="s">
        <v>188</v>
      </c>
      <c r="AG43" s="234">
        <v>250</v>
      </c>
      <c r="AH43" s="235">
        <v>250</v>
      </c>
      <c r="AI43" s="149">
        <v>0</v>
      </c>
      <c r="AJ43" s="218">
        <v>1</v>
      </c>
      <c r="AK43" s="234">
        <v>249.04214559386972</v>
      </c>
      <c r="AL43" s="235">
        <v>249.04214559386972</v>
      </c>
      <c r="AM43" s="149">
        <v>0</v>
      </c>
      <c r="AN43" s="218">
        <v>1</v>
      </c>
    </row>
    <row r="44" spans="1:40" x14ac:dyDescent="0.2">
      <c r="A44" s="219" t="s">
        <v>189</v>
      </c>
      <c r="B44" s="234">
        <v>25</v>
      </c>
      <c r="C44" s="235">
        <v>25</v>
      </c>
      <c r="D44" s="149">
        <f t="shared" si="34"/>
        <v>0</v>
      </c>
      <c r="E44" s="217">
        <f t="shared" si="35"/>
        <v>1</v>
      </c>
      <c r="F44" s="234">
        <v>27</v>
      </c>
      <c r="G44" s="235">
        <v>27</v>
      </c>
      <c r="H44" s="149">
        <f t="shared" si="36"/>
        <v>0</v>
      </c>
      <c r="I44" s="218">
        <f t="shared" si="37"/>
        <v>1</v>
      </c>
      <c r="J44" s="234">
        <v>61.959999999999994</v>
      </c>
      <c r="K44" s="235">
        <v>61.96</v>
      </c>
      <c r="L44" s="149">
        <f t="shared" si="38"/>
        <v>0</v>
      </c>
      <c r="M44" s="218">
        <f t="shared" si="39"/>
        <v>1.0000000000000002</v>
      </c>
      <c r="N44" s="234">
        <v>67.36999999999999</v>
      </c>
      <c r="O44" s="235">
        <v>67.37</v>
      </c>
      <c r="P44" s="149">
        <f t="shared" si="40"/>
        <v>0</v>
      </c>
      <c r="Q44" s="218">
        <f t="shared" si="41"/>
        <v>1.0000000000000002</v>
      </c>
      <c r="R44" s="234">
        <v>67.111877394635997</v>
      </c>
      <c r="S44" s="235">
        <v>67.111877394636011</v>
      </c>
      <c r="T44" s="149">
        <f t="shared" si="42"/>
        <v>0</v>
      </c>
      <c r="U44" s="218">
        <f t="shared" si="44"/>
        <v>1.0000000000000002</v>
      </c>
      <c r="V44" s="229"/>
      <c r="W44" s="234">
        <f t="shared" si="43"/>
        <v>7.3699999999999903</v>
      </c>
      <c r="X44" s="235">
        <f t="shared" si="43"/>
        <v>7.3700000000000045</v>
      </c>
      <c r="Y44" s="149">
        <f t="shared" si="43"/>
        <v>0</v>
      </c>
      <c r="Z44" s="218">
        <f t="shared" si="43"/>
        <v>2.2204460492503131E-16</v>
      </c>
      <c r="AA44" s="234">
        <f t="shared" si="43"/>
        <v>7.3417624521072611</v>
      </c>
      <c r="AB44" s="235">
        <f t="shared" si="43"/>
        <v>7.3417624521072753</v>
      </c>
      <c r="AC44" s="149">
        <f t="shared" si="43"/>
        <v>0</v>
      </c>
      <c r="AD44" s="218">
        <f t="shared" si="43"/>
        <v>2.2204460492503131E-16</v>
      </c>
      <c r="AF44" s="219" t="s">
        <v>189</v>
      </c>
      <c r="AG44" s="234">
        <v>60</v>
      </c>
      <c r="AH44" s="235">
        <v>60</v>
      </c>
      <c r="AI44" s="149">
        <v>0</v>
      </c>
      <c r="AJ44" s="218">
        <v>1</v>
      </c>
      <c r="AK44" s="234">
        <v>59.770114942528735</v>
      </c>
      <c r="AL44" s="235">
        <v>59.770114942528735</v>
      </c>
      <c r="AM44" s="149">
        <v>0</v>
      </c>
      <c r="AN44" s="218">
        <v>1</v>
      </c>
    </row>
    <row r="45" spans="1:40" x14ac:dyDescent="0.2">
      <c r="A45" s="219" t="s">
        <v>190</v>
      </c>
      <c r="B45" s="234">
        <v>446</v>
      </c>
      <c r="C45" s="235">
        <v>446</v>
      </c>
      <c r="D45" s="149">
        <f t="shared" si="34"/>
        <v>0</v>
      </c>
      <c r="E45" s="217">
        <f t="shared" si="35"/>
        <v>1</v>
      </c>
      <c r="F45" s="234">
        <v>1376</v>
      </c>
      <c r="G45" s="235">
        <v>1376</v>
      </c>
      <c r="H45" s="149">
        <f t="shared" si="36"/>
        <v>0</v>
      </c>
      <c r="I45" s="218">
        <f t="shared" si="37"/>
        <v>1</v>
      </c>
      <c r="J45" s="234">
        <v>1082.7800000000002</v>
      </c>
      <c r="K45" s="235">
        <v>1082.7800000000002</v>
      </c>
      <c r="L45" s="149">
        <f t="shared" si="38"/>
        <v>0</v>
      </c>
      <c r="M45" s="218">
        <f t="shared" si="39"/>
        <v>1</v>
      </c>
      <c r="N45" s="234">
        <v>1427.1299999999999</v>
      </c>
      <c r="O45" s="235">
        <v>1427.1299999999999</v>
      </c>
      <c r="P45" s="149">
        <f t="shared" si="40"/>
        <v>0</v>
      </c>
      <c r="Q45" s="218">
        <f t="shared" si="41"/>
        <v>1</v>
      </c>
      <c r="R45" s="234">
        <v>1421.6620689655172</v>
      </c>
      <c r="S45" s="235">
        <v>1421.6620689655172</v>
      </c>
      <c r="T45" s="149">
        <f t="shared" si="42"/>
        <v>0</v>
      </c>
      <c r="U45" s="218">
        <f t="shared" si="44"/>
        <v>1</v>
      </c>
      <c r="V45" s="229"/>
      <c r="W45" s="234">
        <f t="shared" si="43"/>
        <v>327.12999999999988</v>
      </c>
      <c r="X45" s="235">
        <f t="shared" si="43"/>
        <v>327.12999999999988</v>
      </c>
      <c r="Y45" s="149">
        <f t="shared" si="43"/>
        <v>0</v>
      </c>
      <c r="Z45" s="218">
        <f t="shared" si="43"/>
        <v>0</v>
      </c>
      <c r="AA45" s="234">
        <f t="shared" si="43"/>
        <v>325.87662835249034</v>
      </c>
      <c r="AB45" s="235">
        <f t="shared" si="43"/>
        <v>325.87662835249034</v>
      </c>
      <c r="AC45" s="149">
        <f t="shared" si="43"/>
        <v>0</v>
      </c>
      <c r="AD45" s="218">
        <f t="shared" si="43"/>
        <v>0</v>
      </c>
      <c r="AF45" s="219" t="s">
        <v>190</v>
      </c>
      <c r="AG45" s="234">
        <v>1100</v>
      </c>
      <c r="AH45" s="235">
        <v>1100</v>
      </c>
      <c r="AI45" s="149">
        <v>0</v>
      </c>
      <c r="AJ45" s="218">
        <v>1</v>
      </c>
      <c r="AK45" s="234">
        <v>1095.7854406130268</v>
      </c>
      <c r="AL45" s="235">
        <v>1095.7854406130268</v>
      </c>
      <c r="AM45" s="149">
        <v>0</v>
      </c>
      <c r="AN45" s="218">
        <v>1</v>
      </c>
    </row>
    <row r="46" spans="1:40" x14ac:dyDescent="0.2">
      <c r="A46" s="230" t="s">
        <v>191</v>
      </c>
      <c r="B46" s="232">
        <f>SUM(B35:B45)</f>
        <v>124211.8</v>
      </c>
      <c r="C46" s="233">
        <f>SUM(C35:C45)</f>
        <v>61896.224456985547</v>
      </c>
      <c r="D46" s="233">
        <f t="shared" si="34"/>
        <v>62315.575543014456</v>
      </c>
      <c r="E46" s="224">
        <f t="shared" si="35"/>
        <v>0.49831195149724539</v>
      </c>
      <c r="F46" s="232">
        <f>SUM(F35:F45)</f>
        <v>127981.4</v>
      </c>
      <c r="G46" s="233">
        <f>SUM(G35:G45)</f>
        <v>60866.341579970584</v>
      </c>
      <c r="H46" s="233">
        <f t="shared" si="36"/>
        <v>67115.058420029411</v>
      </c>
      <c r="I46" s="225">
        <f t="shared" si="37"/>
        <v>0.47558740238792968</v>
      </c>
      <c r="J46" s="232">
        <f>SUM(J35:J45)</f>
        <v>132503.16</v>
      </c>
      <c r="K46" s="233">
        <f>SUM(K35:K45)</f>
        <v>55437.131445039668</v>
      </c>
      <c r="L46" s="233">
        <f t="shared" si="38"/>
        <v>77066.028554960329</v>
      </c>
      <c r="M46" s="225">
        <f t="shared" si="39"/>
        <v>0.4183834668172417</v>
      </c>
      <c r="N46" s="232">
        <f>SUM(N35:N45)</f>
        <v>136123.45000000001</v>
      </c>
      <c r="O46" s="233">
        <f>SUM(O35:O45)</f>
        <v>57795.857581699318</v>
      </c>
      <c r="P46" s="233">
        <f t="shared" si="40"/>
        <v>78327.592418300686</v>
      </c>
      <c r="Q46" s="225">
        <f t="shared" si="41"/>
        <v>0.42458413727906041</v>
      </c>
      <c r="R46" s="232">
        <f>SUM(R35:R45)</f>
        <v>135601.90421455941</v>
      </c>
      <c r="S46" s="233">
        <f>SUM(S35:S45)</f>
        <v>56937.611112632927</v>
      </c>
      <c r="T46" s="233">
        <f t="shared" si="42"/>
        <v>78664.29310192648</v>
      </c>
      <c r="U46" s="225">
        <f t="shared" si="44"/>
        <v>0.41988799082453893</v>
      </c>
      <c r="W46" s="232">
        <f t="shared" si="43"/>
        <v>2763.4500000000116</v>
      </c>
      <c r="X46" s="233">
        <f t="shared" si="43"/>
        <v>2014.857581699318</v>
      </c>
      <c r="Y46" s="233">
        <f t="shared" si="43"/>
        <v>748.5924183006864</v>
      </c>
      <c r="Z46" s="225">
        <f t="shared" si="43"/>
        <v>6.3102920481066249E-3</v>
      </c>
      <c r="AA46" s="232">
        <f t="shared" si="43"/>
        <v>2752.8620689655363</v>
      </c>
      <c r="AB46" s="233">
        <f t="shared" si="43"/>
        <v>1370.331419146336</v>
      </c>
      <c r="AC46" s="233">
        <f t="shared" si="43"/>
        <v>1382.5306498191931</v>
      </c>
      <c r="AD46" s="225">
        <f t="shared" si="43"/>
        <v>1.6141455935851368E-3</v>
      </c>
      <c r="AF46" s="230" t="s">
        <v>191</v>
      </c>
      <c r="AG46" s="232">
        <v>133360</v>
      </c>
      <c r="AH46" s="233">
        <v>55781</v>
      </c>
      <c r="AI46" s="233">
        <v>77579</v>
      </c>
      <c r="AJ46" s="225">
        <v>0.41827384523095379</v>
      </c>
      <c r="AK46" s="232">
        <v>132849.04214559388</v>
      </c>
      <c r="AL46" s="233">
        <v>55567.279693486591</v>
      </c>
      <c r="AM46" s="233">
        <v>77281.762452107287</v>
      </c>
      <c r="AN46" s="225">
        <v>0.41827384523095379</v>
      </c>
    </row>
    <row r="47" spans="1:40" x14ac:dyDescent="0.2">
      <c r="A47" s="236" t="s">
        <v>192</v>
      </c>
      <c r="B47" s="232">
        <f>+B14+B24+B32+B46</f>
        <v>615813</v>
      </c>
      <c r="C47" s="233">
        <f>+C14+C24+C32+C46</f>
        <v>265803.52445698553</v>
      </c>
      <c r="D47" s="233">
        <f t="shared" si="34"/>
        <v>350009.47554301447</v>
      </c>
      <c r="E47" s="224">
        <f t="shared" si="35"/>
        <v>0.43163025862881349</v>
      </c>
      <c r="F47" s="232">
        <f>+F14+F24+F32+F46</f>
        <v>645981.79999999993</v>
      </c>
      <c r="G47" s="233">
        <f>+G14+G24+G32+G46</f>
        <v>274501.6415799706</v>
      </c>
      <c r="H47" s="233">
        <f t="shared" si="36"/>
        <v>371480.15842002933</v>
      </c>
      <c r="I47" s="225">
        <f t="shared" si="37"/>
        <v>0.42493711367715103</v>
      </c>
      <c r="J47" s="232">
        <f>+J14+J24+J32+J46</f>
        <v>663149.28999999992</v>
      </c>
      <c r="K47" s="233">
        <f>+K14+K24+K32+K46</f>
        <v>264087.33678744646</v>
      </c>
      <c r="L47" s="233">
        <f t="shared" si="38"/>
        <v>399061.95321255346</v>
      </c>
      <c r="M47" s="225">
        <f t="shared" si="39"/>
        <v>0.39823210364508793</v>
      </c>
      <c r="N47" s="232">
        <f>+N14+N24+N32+N46</f>
        <v>666499.75499999989</v>
      </c>
      <c r="O47" s="233">
        <f>+O14+O24+O32+O46</f>
        <v>270075.62968169933</v>
      </c>
      <c r="P47" s="233">
        <f t="shared" si="40"/>
        <v>396424.12531830056</v>
      </c>
      <c r="Q47" s="225">
        <f t="shared" si="41"/>
        <v>0.4052148971633146</v>
      </c>
      <c r="R47" s="232">
        <f>+R14+R24+R32+R46</f>
        <v>661444.11609195406</v>
      </c>
      <c r="S47" s="233">
        <f>+S14+S24+S32+S46</f>
        <v>278224.36724334536</v>
      </c>
      <c r="T47" s="233">
        <f t="shared" si="42"/>
        <v>383219.74884860869</v>
      </c>
      <c r="U47" s="225">
        <f t="shared" si="44"/>
        <v>0.4206317064050602</v>
      </c>
      <c r="W47" s="232">
        <f t="shared" si="43"/>
        <v>639.75499999988824</v>
      </c>
      <c r="X47" s="233">
        <f t="shared" si="43"/>
        <v>425.22968169930391</v>
      </c>
      <c r="Y47" s="233">
        <f t="shared" si="43"/>
        <v>214.52531830058433</v>
      </c>
      <c r="Z47" s="225">
        <f t="shared" si="43"/>
        <v>2.4928877716734466E-4</v>
      </c>
      <c r="AA47" s="232">
        <f t="shared" si="43"/>
        <v>-1864.6961685825372</v>
      </c>
      <c r="AB47" s="233">
        <f t="shared" si="43"/>
        <v>5697.1488525407622</v>
      </c>
      <c r="AC47" s="233">
        <f t="shared" si="43"/>
        <v>-7561.8450211232994</v>
      </c>
      <c r="AD47" s="225">
        <f t="shared" si="43"/>
        <v>9.7714655135816564E-3</v>
      </c>
      <c r="AF47" s="236" t="s">
        <v>193</v>
      </c>
      <c r="AG47" s="232">
        <v>665860</v>
      </c>
      <c r="AH47" s="233">
        <v>269650.40000000002</v>
      </c>
      <c r="AI47" s="233">
        <v>396209.6</v>
      </c>
      <c r="AJ47" s="225">
        <v>0.40496560838614726</v>
      </c>
      <c r="AK47" s="232">
        <v>663308.81226053659</v>
      </c>
      <c r="AL47" s="233">
        <v>272527.2183908046</v>
      </c>
      <c r="AM47" s="233">
        <v>390781.59386973199</v>
      </c>
      <c r="AN47" s="225">
        <v>0.41086024089147855</v>
      </c>
    </row>
    <row r="48" spans="1:40" x14ac:dyDescent="0.2">
      <c r="A48" s="237"/>
      <c r="B48" s="234"/>
      <c r="C48" s="235"/>
      <c r="D48" s="235"/>
      <c r="E48" s="217"/>
      <c r="F48" s="234"/>
      <c r="G48" s="235"/>
      <c r="H48" s="235"/>
      <c r="I48" s="218"/>
      <c r="J48" s="234"/>
      <c r="K48" s="235"/>
      <c r="L48" s="235"/>
      <c r="M48" s="218"/>
      <c r="N48" s="234"/>
      <c r="O48" s="235"/>
      <c r="P48" s="235"/>
      <c r="Q48" s="218"/>
      <c r="R48" s="234"/>
      <c r="S48" s="235"/>
      <c r="T48" s="235"/>
      <c r="U48" s="218"/>
      <c r="W48" s="234"/>
      <c r="X48" s="235"/>
      <c r="Y48" s="235"/>
      <c r="Z48" s="218"/>
      <c r="AA48" s="234"/>
      <c r="AB48" s="235"/>
      <c r="AC48" s="235"/>
      <c r="AD48" s="218"/>
      <c r="AF48" s="237"/>
      <c r="AG48" s="234"/>
      <c r="AH48" s="235"/>
      <c r="AI48" s="235"/>
      <c r="AJ48" s="218"/>
      <c r="AK48" s="234"/>
      <c r="AL48" s="235"/>
      <c r="AM48" s="235"/>
      <c r="AN48" s="218"/>
    </row>
    <row r="49" spans="1:40" x14ac:dyDescent="0.2">
      <c r="A49" s="203" t="s">
        <v>194</v>
      </c>
      <c r="B49" s="234"/>
      <c r="C49" s="235"/>
      <c r="D49" s="235"/>
      <c r="E49" s="217"/>
      <c r="F49" s="234"/>
      <c r="G49" s="235"/>
      <c r="H49" s="235"/>
      <c r="I49" s="218"/>
      <c r="J49" s="234"/>
      <c r="K49" s="235"/>
      <c r="L49" s="235"/>
      <c r="M49" s="218"/>
      <c r="N49" s="234"/>
      <c r="O49" s="235"/>
      <c r="P49" s="235"/>
      <c r="Q49" s="218"/>
      <c r="R49" s="234"/>
      <c r="S49" s="235"/>
      <c r="T49" s="235"/>
      <c r="U49" s="218"/>
      <c r="W49" s="234"/>
      <c r="X49" s="235"/>
      <c r="Y49" s="235"/>
      <c r="Z49" s="218"/>
      <c r="AA49" s="234"/>
      <c r="AB49" s="235"/>
      <c r="AC49" s="235"/>
      <c r="AD49" s="218"/>
      <c r="AF49" s="203" t="s">
        <v>194</v>
      </c>
      <c r="AG49" s="234"/>
      <c r="AH49" s="235"/>
      <c r="AI49" s="235"/>
      <c r="AJ49" s="218"/>
      <c r="AK49" s="234"/>
      <c r="AL49" s="235"/>
      <c r="AM49" s="235"/>
      <c r="AN49" s="218"/>
    </row>
    <row r="50" spans="1:40" x14ac:dyDescent="0.2">
      <c r="A50" s="226" t="s">
        <v>164</v>
      </c>
      <c r="B50" s="234">
        <v>120800</v>
      </c>
      <c r="C50" s="235">
        <v>100532</v>
      </c>
      <c r="D50" s="149">
        <f>+B50-C50</f>
        <v>20268</v>
      </c>
      <c r="E50" s="217">
        <f>IF(B50&lt;&gt;0,C50/B50,0)</f>
        <v>0.83221854304635756</v>
      </c>
      <c r="F50" s="234">
        <v>125190.39999999999</v>
      </c>
      <c r="G50" s="235">
        <v>104055.9</v>
      </c>
      <c r="H50" s="149">
        <f>+F50-G50</f>
        <v>21134.5</v>
      </c>
      <c r="I50" s="218">
        <f>IF(F50&lt;&gt;0,G50/F50,0)</f>
        <v>0.83118114488011863</v>
      </c>
      <c r="J50" s="234">
        <v>123753.19499999998</v>
      </c>
      <c r="K50" s="235">
        <v>106935.263252042</v>
      </c>
      <c r="L50" s="149">
        <f>+J50-K50</f>
        <v>16817.931747957977</v>
      </c>
      <c r="M50" s="218">
        <f>IF(J50&lt;&gt;0,K50/J50,0)</f>
        <v>0.86410102989294146</v>
      </c>
      <c r="N50" s="234">
        <v>123944.29000000002</v>
      </c>
      <c r="O50" s="235">
        <v>109070.97520000002</v>
      </c>
      <c r="P50" s="149">
        <f>+N50-O50</f>
        <v>14873.314800000007</v>
      </c>
      <c r="Q50" s="218">
        <f>IF(N50&lt;&gt;0,O50/N50,0)</f>
        <v>0.88</v>
      </c>
      <c r="R50" s="234">
        <v>125971.40766283528</v>
      </c>
      <c r="S50" s="235">
        <v>113374.26689655175</v>
      </c>
      <c r="T50" s="149">
        <f>+R50-S50</f>
        <v>12597.140766283526</v>
      </c>
      <c r="U50" s="218">
        <f>IF(R50&lt;&gt;0,S50/R50,0)</f>
        <v>0.9</v>
      </c>
      <c r="W50" s="234">
        <f t="shared" ref="W50:AD54" si="45">IFERROR(N50-AG50,"")</f>
        <v>-55.709999999977299</v>
      </c>
      <c r="X50" s="235">
        <f t="shared" si="45"/>
        <v>-67.082399999984773</v>
      </c>
      <c r="Y50" s="149">
        <f t="shared" si="45"/>
        <v>11.372400000007474</v>
      </c>
      <c r="Z50" s="218">
        <f t="shared" si="45"/>
        <v>-1.4562580645161027E-4</v>
      </c>
      <c r="AA50" s="234">
        <f t="shared" si="45"/>
        <v>2446.5034482758929</v>
      </c>
      <c r="AB50" s="235">
        <f t="shared" si="45"/>
        <v>2194.1697413793445</v>
      </c>
      <c r="AC50" s="149">
        <f t="shared" si="45"/>
        <v>252.33370689654839</v>
      </c>
      <c r="AD50" s="218">
        <f t="shared" si="45"/>
        <v>-6.2200915012300406E-5</v>
      </c>
      <c r="AF50" s="226" t="s">
        <v>164</v>
      </c>
      <c r="AG50" s="234">
        <v>124000</v>
      </c>
      <c r="AH50" s="235">
        <v>109138.0576</v>
      </c>
      <c r="AI50" s="149">
        <v>14861.9424</v>
      </c>
      <c r="AJ50" s="218">
        <v>0.88014562580645161</v>
      </c>
      <c r="AK50" s="234">
        <v>123524.90421455938</v>
      </c>
      <c r="AL50" s="235">
        <v>111180.09715517241</v>
      </c>
      <c r="AM50" s="149">
        <v>12344.807059386978</v>
      </c>
      <c r="AN50" s="218">
        <v>0.90006220091501232</v>
      </c>
    </row>
    <row r="51" spans="1:40" x14ac:dyDescent="0.2">
      <c r="A51" s="226" t="s">
        <v>195</v>
      </c>
      <c r="B51" s="234">
        <v>1040</v>
      </c>
      <c r="C51" s="235">
        <v>1040</v>
      </c>
      <c r="D51" s="149">
        <f>+B51-C51</f>
        <v>0</v>
      </c>
      <c r="E51" s="217">
        <f>IF(B51&lt;&gt;0,C51/B51,0)</f>
        <v>1</v>
      </c>
      <c r="F51" s="234">
        <v>820</v>
      </c>
      <c r="G51" s="235">
        <v>820</v>
      </c>
      <c r="H51" s="149">
        <f>+F51-G51</f>
        <v>0</v>
      </c>
      <c r="I51" s="218">
        <f>IF(F51&lt;&gt;0,G51/F51,0)</f>
        <v>1</v>
      </c>
      <c r="J51" s="234">
        <v>700.45</v>
      </c>
      <c r="K51" s="235">
        <v>700.45</v>
      </c>
      <c r="L51" s="149">
        <f>+J51-K51</f>
        <v>0</v>
      </c>
      <c r="M51" s="218">
        <f>IF(J51&lt;&gt;0,K51/J51,0)</f>
        <v>1</v>
      </c>
      <c r="N51" s="234">
        <v>582.88</v>
      </c>
      <c r="O51" s="235">
        <v>582.87999999999988</v>
      </c>
      <c r="P51" s="149">
        <f>+N51-O51</f>
        <v>0</v>
      </c>
      <c r="Q51" s="218">
        <f>IF(N51&lt;&gt;0,O51/N51,0)</f>
        <v>0.99999999999999978</v>
      </c>
      <c r="R51" s="234">
        <v>580.64674329501918</v>
      </c>
      <c r="S51" s="235">
        <v>580.64674329501918</v>
      </c>
      <c r="T51" s="149">
        <f>+R51-S51</f>
        <v>0</v>
      </c>
      <c r="U51" s="218">
        <f>IF(R51&lt;&gt;0,S51/R51,0)</f>
        <v>1</v>
      </c>
      <c r="W51" s="234">
        <f t="shared" si="45"/>
        <v>-67.12</v>
      </c>
      <c r="X51" s="235">
        <f t="shared" si="45"/>
        <v>-67.120000000000118</v>
      </c>
      <c r="Y51" s="149">
        <f t="shared" si="45"/>
        <v>0</v>
      </c>
      <c r="Z51" s="218">
        <f t="shared" si="45"/>
        <v>-2.2204460492503131E-16</v>
      </c>
      <c r="AA51" s="234">
        <f t="shared" si="45"/>
        <v>-66.862835249042064</v>
      </c>
      <c r="AB51" s="235">
        <f t="shared" si="45"/>
        <v>-66.862835249042064</v>
      </c>
      <c r="AC51" s="149">
        <f t="shared" si="45"/>
        <v>0</v>
      </c>
      <c r="AD51" s="218">
        <f t="shared" si="45"/>
        <v>0</v>
      </c>
      <c r="AF51" s="226" t="s">
        <v>195</v>
      </c>
      <c r="AG51" s="234">
        <v>650</v>
      </c>
      <c r="AH51" s="235">
        <v>650</v>
      </c>
      <c r="AI51" s="149">
        <v>0</v>
      </c>
      <c r="AJ51" s="218">
        <v>1</v>
      </c>
      <c r="AK51" s="234">
        <v>647.50957854406124</v>
      </c>
      <c r="AL51" s="235">
        <v>647.50957854406124</v>
      </c>
      <c r="AM51" s="149">
        <v>0</v>
      </c>
      <c r="AN51" s="218">
        <v>1</v>
      </c>
    </row>
    <row r="52" spans="1:40" x14ac:dyDescent="0.2">
      <c r="A52" s="226" t="s">
        <v>196</v>
      </c>
      <c r="B52" s="234">
        <v>2150</v>
      </c>
      <c r="C52" s="235">
        <v>860</v>
      </c>
      <c r="D52" s="149">
        <f>+B52-C52</f>
        <v>1290</v>
      </c>
      <c r="E52" s="217">
        <f>IF(B52&lt;&gt;0,C52/B52,0)</f>
        <v>0.4</v>
      </c>
      <c r="F52" s="234">
        <v>1536</v>
      </c>
      <c r="G52" s="235">
        <v>615</v>
      </c>
      <c r="H52" s="149">
        <f>+F52-G52</f>
        <v>921</v>
      </c>
      <c r="I52" s="218">
        <f>IF(F52&lt;&gt;0,G52/F52,0)</f>
        <v>0.400390625</v>
      </c>
      <c r="J52" s="234">
        <v>1581.15</v>
      </c>
      <c r="K52" s="235">
        <v>632.46</v>
      </c>
      <c r="L52" s="149">
        <f>+J52-K52</f>
        <v>948.69</v>
      </c>
      <c r="M52" s="218">
        <f>IF(J52&lt;&gt;0,K52/J52,0)</f>
        <v>0.4</v>
      </c>
      <c r="N52" s="234">
        <v>1190.08</v>
      </c>
      <c r="O52" s="235">
        <v>1047.2703999999999</v>
      </c>
      <c r="P52" s="149">
        <f>+N52-O52</f>
        <v>142.80960000000005</v>
      </c>
      <c r="Q52" s="218">
        <f>IF(N52&lt;&gt;0,O52/N52,0)</f>
        <v>0.88</v>
      </c>
      <c r="R52" s="234">
        <v>1185.5203065134099</v>
      </c>
      <c r="S52" s="235">
        <v>1185.5203065134099</v>
      </c>
      <c r="T52" s="149">
        <f>+R52-S52</f>
        <v>0</v>
      </c>
      <c r="U52" s="218">
        <f>IF(R52&lt;&gt;0,S52/R52,0)</f>
        <v>1</v>
      </c>
      <c r="W52" s="234">
        <f t="shared" si="45"/>
        <v>-391.07000000000016</v>
      </c>
      <c r="X52" s="235">
        <f t="shared" si="45"/>
        <v>-344.14159999999993</v>
      </c>
      <c r="Y52" s="149">
        <f t="shared" si="45"/>
        <v>-46.928400000000238</v>
      </c>
      <c r="Z52" s="218">
        <f t="shared" si="45"/>
        <v>2.2204460492503131E-16</v>
      </c>
      <c r="AA52" s="234">
        <f t="shared" si="45"/>
        <v>-389.5716475095785</v>
      </c>
      <c r="AB52" s="235">
        <f t="shared" si="45"/>
        <v>-232.0624521072798</v>
      </c>
      <c r="AC52" s="149">
        <f t="shared" si="45"/>
        <v>-157.5091954022987</v>
      </c>
      <c r="AD52" s="218">
        <f t="shared" si="45"/>
        <v>9.9999999999999867E-2</v>
      </c>
      <c r="AF52" s="226" t="s">
        <v>196</v>
      </c>
      <c r="AG52" s="234">
        <v>1581.15</v>
      </c>
      <c r="AH52" s="235">
        <v>1391.4119999999998</v>
      </c>
      <c r="AI52" s="149">
        <v>189.73800000000028</v>
      </c>
      <c r="AJ52" s="218">
        <v>0.87999999999999978</v>
      </c>
      <c r="AK52" s="234">
        <v>1575.0919540229884</v>
      </c>
      <c r="AL52" s="235">
        <v>1417.5827586206897</v>
      </c>
      <c r="AM52" s="149">
        <v>157.5091954022987</v>
      </c>
      <c r="AN52" s="218">
        <v>0.90000000000000013</v>
      </c>
    </row>
    <row r="53" spans="1:40" x14ac:dyDescent="0.2">
      <c r="A53" s="226" t="s">
        <v>197</v>
      </c>
      <c r="B53" s="234">
        <v>15412</v>
      </c>
      <c r="C53" s="235">
        <v>13320</v>
      </c>
      <c r="D53" s="149">
        <f>+B53-C53</f>
        <v>2092</v>
      </c>
      <c r="E53" s="217">
        <f>IF(B53&lt;&gt;0,C53/B53,0)</f>
        <v>0.86426161432649884</v>
      </c>
      <c r="F53" s="234">
        <v>16027.4</v>
      </c>
      <c r="G53" s="235">
        <v>13658.9</v>
      </c>
      <c r="H53" s="149">
        <f>+F53-G53</f>
        <v>2368.5</v>
      </c>
      <c r="I53" s="218">
        <f>IF(F53&lt;&gt;0,G53/F53,0)</f>
        <v>0.85222182013302217</v>
      </c>
      <c r="J53" s="234">
        <v>17652.135000000002</v>
      </c>
      <c r="K53" s="235">
        <v>14492.865000000002</v>
      </c>
      <c r="L53" s="149">
        <f>+J53-K53</f>
        <v>3159.2700000000004</v>
      </c>
      <c r="M53" s="218">
        <f>IF(J53&lt;&gt;0,K53/J53,0)</f>
        <v>0.82102618181879983</v>
      </c>
      <c r="N53" s="234">
        <v>18069.248</v>
      </c>
      <c r="O53" s="235">
        <v>15900.938239999999</v>
      </c>
      <c r="P53" s="149">
        <f>+N53-O53</f>
        <v>2168.3097600000001</v>
      </c>
      <c r="Q53" s="218">
        <f>IF(N53&lt;&gt;0,O53/N53,0)</f>
        <v>0.88</v>
      </c>
      <c r="R53" s="234">
        <v>18000.017164750956</v>
      </c>
      <c r="S53" s="235">
        <v>16200.015448275861</v>
      </c>
      <c r="T53" s="149">
        <f>+R53-S53</f>
        <v>1800.0017164750952</v>
      </c>
      <c r="U53" s="218">
        <f>IF(R53&lt;&gt;0,S53/R53,0)</f>
        <v>0.9</v>
      </c>
      <c r="W53" s="234">
        <f t="shared" si="45"/>
        <v>369.24799999999959</v>
      </c>
      <c r="X53" s="235">
        <f t="shared" si="45"/>
        <v>1550.9382399999995</v>
      </c>
      <c r="Y53" s="149">
        <f t="shared" si="45"/>
        <v>-1181.6902399999999</v>
      </c>
      <c r="Z53" s="218">
        <f t="shared" si="45"/>
        <v>6.9265536723163823E-2</v>
      </c>
      <c r="AA53" s="234">
        <f t="shared" si="45"/>
        <v>367.83325670498016</v>
      </c>
      <c r="AB53" s="235">
        <f t="shared" si="45"/>
        <v>1904.9962911877392</v>
      </c>
      <c r="AC53" s="149">
        <f t="shared" si="45"/>
        <v>-1537.163034482759</v>
      </c>
      <c r="AD53" s="218">
        <f t="shared" si="45"/>
        <v>8.9265536723163841E-2</v>
      </c>
      <c r="AF53" s="226" t="s">
        <v>197</v>
      </c>
      <c r="AG53" s="234">
        <v>17700</v>
      </c>
      <c r="AH53" s="235">
        <v>14350</v>
      </c>
      <c r="AI53" s="149">
        <v>3350</v>
      </c>
      <c r="AJ53" s="218">
        <v>0.81073446327683618</v>
      </c>
      <c r="AK53" s="234">
        <v>17632.183908045976</v>
      </c>
      <c r="AL53" s="235">
        <v>14295.019157088122</v>
      </c>
      <c r="AM53" s="149">
        <v>3337.1647509578543</v>
      </c>
      <c r="AN53" s="218">
        <v>0.81073446327683618</v>
      </c>
    </row>
    <row r="54" spans="1:40" x14ac:dyDescent="0.2">
      <c r="A54" s="236" t="s">
        <v>198</v>
      </c>
      <c r="B54" s="232">
        <f>SUM(B50:B53)</f>
        <v>139402</v>
      </c>
      <c r="C54" s="233">
        <f>SUM(C50:C53)</f>
        <v>115752</v>
      </c>
      <c r="D54" s="233">
        <f>+B54-C54</f>
        <v>23650</v>
      </c>
      <c r="E54" s="224">
        <f>IF(B54&lt;&gt;0,C54/B54,0)</f>
        <v>0.83034676690434861</v>
      </c>
      <c r="F54" s="232">
        <f>SUM(F50:F53)</f>
        <v>143573.79999999999</v>
      </c>
      <c r="G54" s="233">
        <f>SUM(G50:G53)</f>
        <v>119149.79999999999</v>
      </c>
      <c r="H54" s="233">
        <f>+F54-G54</f>
        <v>24424</v>
      </c>
      <c r="I54" s="225">
        <f>IF(F54&lt;&gt;0,G54/F54,0)</f>
        <v>0.82988539691782204</v>
      </c>
      <c r="J54" s="232">
        <f>SUM(J50:J53)</f>
        <v>143686.92999999996</v>
      </c>
      <c r="K54" s="233">
        <f>SUM(K50:K53)</f>
        <v>122761.03825204201</v>
      </c>
      <c r="L54" s="233">
        <f>+J54-K54</f>
        <v>20925.891747957954</v>
      </c>
      <c r="M54" s="225">
        <f>IF(J54&lt;&gt;0,K54/J54,0)</f>
        <v>0.85436468196545112</v>
      </c>
      <c r="N54" s="232">
        <f>SUM(N50:N53)</f>
        <v>143786.49800000002</v>
      </c>
      <c r="O54" s="233">
        <f>SUM(O50:O53)</f>
        <v>126602.06384000002</v>
      </c>
      <c r="P54" s="233">
        <f>+N54-O54</f>
        <v>17184.434160000004</v>
      </c>
      <c r="Q54" s="225">
        <f>IF(N54&lt;&gt;0,O54/N54,0)</f>
        <v>0.88048645457656249</v>
      </c>
      <c r="R54" s="232">
        <f>SUM(R50:R53)</f>
        <v>145737.59187739465</v>
      </c>
      <c r="S54" s="233">
        <f>SUM(S50:S53)</f>
        <v>131340.44939463603</v>
      </c>
      <c r="T54" s="233">
        <f>+R54-S54</f>
        <v>14397.142482758616</v>
      </c>
      <c r="U54" s="225">
        <f>IF(R54&lt;&gt;0,S54/R54,0)</f>
        <v>0.90121188159283871</v>
      </c>
      <c r="W54" s="232">
        <f t="shared" si="45"/>
        <v>-144.65199999997276</v>
      </c>
      <c r="X54" s="233">
        <f t="shared" si="45"/>
        <v>1072.5942400000204</v>
      </c>
      <c r="Y54" s="233">
        <f t="shared" si="45"/>
        <v>-1217.2462399999931</v>
      </c>
      <c r="Z54" s="225">
        <f t="shared" si="45"/>
        <v>8.337030355328956E-3</v>
      </c>
      <c r="AA54" s="232">
        <f t="shared" si="45"/>
        <v>2357.9022222222411</v>
      </c>
      <c r="AB54" s="233">
        <f t="shared" si="45"/>
        <v>3800.2407452107582</v>
      </c>
      <c r="AC54" s="233">
        <f t="shared" si="45"/>
        <v>-1442.3385229885171</v>
      </c>
      <c r="AD54" s="225">
        <f t="shared" si="45"/>
        <v>1.1684160085287831E-2</v>
      </c>
      <c r="AF54" s="236" t="s">
        <v>198</v>
      </c>
      <c r="AG54" s="232">
        <v>143931.15</v>
      </c>
      <c r="AH54" s="233">
        <v>125529.4696</v>
      </c>
      <c r="AI54" s="233">
        <v>18401.680399999997</v>
      </c>
      <c r="AJ54" s="225">
        <v>0.87214942422123354</v>
      </c>
      <c r="AK54" s="232">
        <v>143379.68965517241</v>
      </c>
      <c r="AL54" s="233">
        <v>127540.20864942527</v>
      </c>
      <c r="AM54" s="233">
        <v>15839.481005747133</v>
      </c>
      <c r="AN54" s="225">
        <v>0.88952772150755088</v>
      </c>
    </row>
    <row r="55" spans="1:40" x14ac:dyDescent="0.2">
      <c r="A55" s="237"/>
      <c r="B55" s="234"/>
      <c r="C55" s="235"/>
      <c r="D55" s="235"/>
      <c r="E55" s="217"/>
      <c r="F55" s="234"/>
      <c r="G55" s="235"/>
      <c r="H55" s="235"/>
      <c r="I55" s="218"/>
      <c r="J55" s="234"/>
      <c r="K55" s="235"/>
      <c r="L55" s="235"/>
      <c r="M55" s="218"/>
      <c r="N55" s="234"/>
      <c r="O55" s="235"/>
      <c r="P55" s="235"/>
      <c r="Q55" s="218"/>
      <c r="R55" s="234"/>
      <c r="S55" s="235"/>
      <c r="T55" s="235"/>
      <c r="U55" s="218"/>
      <c r="W55" s="234"/>
      <c r="X55" s="235"/>
      <c r="Y55" s="235"/>
      <c r="Z55" s="218"/>
      <c r="AA55" s="234"/>
      <c r="AB55" s="235"/>
      <c r="AC55" s="235"/>
      <c r="AD55" s="218"/>
      <c r="AF55" s="237"/>
      <c r="AG55" s="234"/>
      <c r="AH55" s="235"/>
      <c r="AI55" s="235"/>
      <c r="AJ55" s="218"/>
      <c r="AK55" s="234"/>
      <c r="AL55" s="235"/>
      <c r="AM55" s="235"/>
      <c r="AN55" s="218"/>
    </row>
    <row r="56" spans="1:40" x14ac:dyDescent="0.2">
      <c r="A56" s="226" t="s">
        <v>199</v>
      </c>
      <c r="B56" s="234">
        <v>28212</v>
      </c>
      <c r="C56" s="235">
        <v>28212</v>
      </c>
      <c r="D56" s="149">
        <f>+B56-C56</f>
        <v>0</v>
      </c>
      <c r="E56" s="217">
        <f>IF(B56&lt;&gt;0,C56/B56,0)</f>
        <v>1</v>
      </c>
      <c r="F56" s="234">
        <v>18227</v>
      </c>
      <c r="G56" s="235">
        <v>18227</v>
      </c>
      <c r="H56" s="149">
        <f>+F56-G56</f>
        <v>0</v>
      </c>
      <c r="I56" s="218">
        <f>IF(F56&lt;&gt;0,G56/F56,0)</f>
        <v>1</v>
      </c>
      <c r="J56" s="234">
        <v>19140.771894999998</v>
      </c>
      <c r="K56" s="235">
        <v>19140.771894999998</v>
      </c>
      <c r="L56" s="149">
        <f>+J56-K56</f>
        <v>0</v>
      </c>
      <c r="M56" s="218">
        <f>IF(J56&lt;&gt;0,K56/J56,0)</f>
        <v>1</v>
      </c>
      <c r="N56" s="234">
        <v>22017.767090000005</v>
      </c>
      <c r="O56" s="235">
        <v>22017.767090000005</v>
      </c>
      <c r="P56" s="149">
        <f>+N56-O56</f>
        <v>0</v>
      </c>
      <c r="Q56" s="218">
        <f>IF(N56&lt;&gt;0,O56/N56,0)</f>
        <v>1</v>
      </c>
      <c r="R56" s="234">
        <v>21933.40782911878</v>
      </c>
      <c r="S56" s="235">
        <v>21933.40782911878</v>
      </c>
      <c r="T56" s="149">
        <f>+R56-S56</f>
        <v>0</v>
      </c>
      <c r="U56" s="218">
        <f>IF(R56&lt;&gt;0,S56/R56,0)</f>
        <v>1</v>
      </c>
      <c r="W56" s="234">
        <f t="shared" ref="W56:AD60" si="46">IFERROR(N56-AG56,"")</f>
        <v>3017.7670900000048</v>
      </c>
      <c r="X56" s="235">
        <f t="shared" si="46"/>
        <v>3017.7670900000048</v>
      </c>
      <c r="Y56" s="149">
        <f t="shared" si="46"/>
        <v>0</v>
      </c>
      <c r="Z56" s="218">
        <f t="shared" si="46"/>
        <v>0</v>
      </c>
      <c r="AA56" s="234">
        <f t="shared" si="46"/>
        <v>3006.2047639846787</v>
      </c>
      <c r="AB56" s="235">
        <f t="shared" si="46"/>
        <v>3006.2047639846787</v>
      </c>
      <c r="AC56" s="149">
        <f t="shared" si="46"/>
        <v>0</v>
      </c>
      <c r="AD56" s="218">
        <f t="shared" si="46"/>
        <v>0</v>
      </c>
      <c r="AF56" s="226" t="s">
        <v>199</v>
      </c>
      <c r="AG56" s="234">
        <v>19000</v>
      </c>
      <c r="AH56" s="235">
        <v>19000</v>
      </c>
      <c r="AI56" s="149">
        <v>0</v>
      </c>
      <c r="AJ56" s="218">
        <v>1</v>
      </c>
      <c r="AK56" s="234">
        <v>18927.203065134101</v>
      </c>
      <c r="AL56" s="235">
        <v>18927.203065134101</v>
      </c>
      <c r="AM56" s="149">
        <v>0</v>
      </c>
      <c r="AN56" s="218">
        <v>1</v>
      </c>
    </row>
    <row r="57" spans="1:40" x14ac:dyDescent="0.2">
      <c r="A57" s="236" t="s">
        <v>200</v>
      </c>
      <c r="B57" s="232">
        <f>SUM(B54:B56)</f>
        <v>167614</v>
      </c>
      <c r="C57" s="233">
        <f>SUM(C54:C56)</f>
        <v>143964</v>
      </c>
      <c r="D57" s="233">
        <f>+B57-C57</f>
        <v>23650</v>
      </c>
      <c r="E57" s="224">
        <f>IF(B57&lt;&gt;0,C57/B57,0)</f>
        <v>0.85890200102616732</v>
      </c>
      <c r="F57" s="232">
        <f>SUM(F54:F56)</f>
        <v>161800.79999999999</v>
      </c>
      <c r="G57" s="233">
        <f>SUM(G54:G56)</f>
        <v>137376.79999999999</v>
      </c>
      <c r="H57" s="233">
        <f>+F57-G57</f>
        <v>24424</v>
      </c>
      <c r="I57" s="225">
        <f>IF(F57&lt;&gt;0,G57/F57,0)</f>
        <v>0.84904895402247704</v>
      </c>
      <c r="J57" s="232">
        <f>SUM(J54:J56)</f>
        <v>162827.70189499995</v>
      </c>
      <c r="K57" s="233">
        <f>SUM(K54:K56)</f>
        <v>141901.81014704201</v>
      </c>
      <c r="L57" s="233">
        <f>+J57-K57</f>
        <v>20925.89174795794</v>
      </c>
      <c r="M57" s="225">
        <f>IF(J57&lt;&gt;0,K57/J57,0)</f>
        <v>0.87148444948604586</v>
      </c>
      <c r="N57" s="232">
        <f>SUM(N54:N56)</f>
        <v>165804.26509000003</v>
      </c>
      <c r="O57" s="233">
        <f>SUM(O54:O56)</f>
        <v>148619.83093000003</v>
      </c>
      <c r="P57" s="233">
        <f>+N57-O57</f>
        <v>17184.434160000004</v>
      </c>
      <c r="Q57" s="225">
        <f>IF(N57&lt;&gt;0,O57/N57,0)</f>
        <v>0.89635710425982018</v>
      </c>
      <c r="R57" s="232">
        <f>SUM(R54:R56)</f>
        <v>167670.99970651342</v>
      </c>
      <c r="S57" s="233">
        <f>SUM(S54:S56)</f>
        <v>153273.85722375481</v>
      </c>
      <c r="T57" s="233">
        <f>+R57-S57</f>
        <v>14397.142482758616</v>
      </c>
      <c r="U57" s="225">
        <f>IF(R57&lt;&gt;0,S57/R57,0)</f>
        <v>0.91413457003322596</v>
      </c>
      <c r="W57" s="232">
        <f t="shared" si="46"/>
        <v>2873.1150900000357</v>
      </c>
      <c r="X57" s="233">
        <f t="shared" si="46"/>
        <v>4090.3613300000143</v>
      </c>
      <c r="Y57" s="233">
        <f t="shared" si="46"/>
        <v>-1217.2462399999786</v>
      </c>
      <c r="Z57" s="225">
        <f t="shared" si="46"/>
        <v>9.2985546822837994E-3</v>
      </c>
      <c r="AA57" s="232">
        <f t="shared" si="46"/>
        <v>5364.1069862069271</v>
      </c>
      <c r="AB57" s="233">
        <f t="shared" si="46"/>
        <v>6806.4455091954442</v>
      </c>
      <c r="AC57" s="233">
        <f t="shared" si="46"/>
        <v>-1442.3385229885171</v>
      </c>
      <c r="AD57" s="225">
        <f t="shared" si="46"/>
        <v>1.1724270262669312E-2</v>
      </c>
      <c r="AF57" s="236" t="s">
        <v>200</v>
      </c>
      <c r="AG57" s="232">
        <v>162931.15</v>
      </c>
      <c r="AH57" s="233">
        <v>144529.46960000001</v>
      </c>
      <c r="AI57" s="233">
        <v>18401.680399999983</v>
      </c>
      <c r="AJ57" s="225">
        <v>0.88705854957753638</v>
      </c>
      <c r="AK57" s="232">
        <v>162306.8927203065</v>
      </c>
      <c r="AL57" s="233">
        <v>146467.41171455936</v>
      </c>
      <c r="AM57" s="233">
        <v>15839.481005747133</v>
      </c>
      <c r="AN57" s="225">
        <v>0.90241029977055665</v>
      </c>
    </row>
    <row r="58" spans="1:40" ht="15" customHeight="1" x14ac:dyDescent="0.2">
      <c r="A58" s="238" t="s">
        <v>201</v>
      </c>
      <c r="B58" s="222">
        <v>194140</v>
      </c>
      <c r="C58" s="223">
        <v>194140</v>
      </c>
      <c r="D58" s="223">
        <f>+B58-C58</f>
        <v>0</v>
      </c>
      <c r="E58" s="224">
        <f>IF(B58&lt;&gt;0,C58/B58,0)</f>
        <v>1</v>
      </c>
      <c r="F58" s="222">
        <v>125647</v>
      </c>
      <c r="G58" s="223">
        <v>125647</v>
      </c>
      <c r="H58" s="223">
        <f>+F58-G58</f>
        <v>0</v>
      </c>
      <c r="I58" s="225">
        <f>IF(F58&lt;&gt;0,G58/F58,0)</f>
        <v>1</v>
      </c>
      <c r="J58" s="222">
        <v>93271.130000000019</v>
      </c>
      <c r="K58" s="223">
        <v>93271.130000000019</v>
      </c>
      <c r="L58" s="223">
        <f>+J58-K58</f>
        <v>0</v>
      </c>
      <c r="M58" s="225">
        <f>IF(J58&lt;&gt;0,K58/J58,0)</f>
        <v>1</v>
      </c>
      <c r="N58" s="232">
        <v>89132.97</v>
      </c>
      <c r="O58" s="233">
        <v>89132.97</v>
      </c>
      <c r="P58" s="223">
        <f>+N58-O58</f>
        <v>0</v>
      </c>
      <c r="Q58" s="225">
        <f>IF(N58&lt;&gt;0,O58/N58,0)</f>
        <v>1</v>
      </c>
      <c r="R58" s="232">
        <v>88791.464367816094</v>
      </c>
      <c r="S58" s="233">
        <v>88791.464367816094</v>
      </c>
      <c r="T58" s="223">
        <f>+R58-S58</f>
        <v>0</v>
      </c>
      <c r="U58" s="225">
        <f>IF(R58&lt;&gt;0,S58/R58,0)</f>
        <v>1</v>
      </c>
      <c r="W58" s="232">
        <f t="shared" si="46"/>
        <v>-3867.0299999999988</v>
      </c>
      <c r="X58" s="233">
        <f t="shared" si="46"/>
        <v>-3867.0299999999988</v>
      </c>
      <c r="Y58" s="223">
        <f t="shared" si="46"/>
        <v>0</v>
      </c>
      <c r="Z58" s="225">
        <f t="shared" si="46"/>
        <v>0</v>
      </c>
      <c r="AA58" s="232">
        <f t="shared" si="46"/>
        <v>-3852.2137931034522</v>
      </c>
      <c r="AB58" s="233">
        <f t="shared" si="46"/>
        <v>-3852.2137931034522</v>
      </c>
      <c r="AC58" s="223">
        <f t="shared" si="46"/>
        <v>0</v>
      </c>
      <c r="AD58" s="225">
        <f t="shared" si="46"/>
        <v>0</v>
      </c>
      <c r="AF58" s="238" t="s">
        <v>201</v>
      </c>
      <c r="AG58" s="232">
        <v>93000</v>
      </c>
      <c r="AH58" s="233">
        <v>93000</v>
      </c>
      <c r="AI58" s="223">
        <v>0</v>
      </c>
      <c r="AJ58" s="225">
        <v>1</v>
      </c>
      <c r="AK58" s="232">
        <v>92643.678160919546</v>
      </c>
      <c r="AL58" s="233">
        <v>92643.678160919546</v>
      </c>
      <c r="AM58" s="223">
        <v>0</v>
      </c>
      <c r="AN58" s="225">
        <v>1</v>
      </c>
    </row>
    <row r="59" spans="1:40" ht="15" customHeight="1" x14ac:dyDescent="0.2">
      <c r="A59" s="239" t="s">
        <v>202</v>
      </c>
      <c r="B59" s="234">
        <v>670.5</v>
      </c>
      <c r="C59" s="235">
        <v>670.5</v>
      </c>
      <c r="D59" s="149"/>
      <c r="E59" s="217"/>
      <c r="F59" s="234">
        <v>145</v>
      </c>
      <c r="G59" s="235">
        <v>145</v>
      </c>
      <c r="H59" s="149"/>
      <c r="I59" s="218"/>
      <c r="J59" s="234">
        <v>375.60400000000004</v>
      </c>
      <c r="K59" s="235">
        <v>375.60400000000004</v>
      </c>
      <c r="L59" s="149"/>
      <c r="M59" s="218"/>
      <c r="N59" s="234"/>
      <c r="O59" s="235"/>
      <c r="P59" s="149"/>
      <c r="Q59" s="218"/>
      <c r="R59" s="234"/>
      <c r="S59" s="235"/>
      <c r="T59" s="149"/>
      <c r="U59" s="218"/>
      <c r="W59" s="234">
        <f t="shared" si="46"/>
        <v>0</v>
      </c>
      <c r="X59" s="235">
        <f t="shared" si="46"/>
        <v>0</v>
      </c>
      <c r="Y59" s="149">
        <f t="shared" si="46"/>
        <v>0</v>
      </c>
      <c r="Z59" s="218">
        <f t="shared" si="46"/>
        <v>0</v>
      </c>
      <c r="AA59" s="234">
        <f t="shared" si="46"/>
        <v>0</v>
      </c>
      <c r="AB59" s="235">
        <f t="shared" si="46"/>
        <v>0</v>
      </c>
      <c r="AC59" s="149">
        <f t="shared" si="46"/>
        <v>0</v>
      </c>
      <c r="AD59" s="218">
        <f t="shared" si="46"/>
        <v>0</v>
      </c>
      <c r="AF59" s="239" t="s">
        <v>202</v>
      </c>
      <c r="AG59" s="234"/>
      <c r="AH59" s="235"/>
      <c r="AI59" s="149"/>
      <c r="AJ59" s="218"/>
      <c r="AK59" s="234"/>
      <c r="AL59" s="235"/>
      <c r="AM59" s="149"/>
      <c r="AN59" s="218"/>
    </row>
    <row r="60" spans="1:40" ht="15" customHeight="1" x14ac:dyDescent="0.2">
      <c r="A60" s="239" t="s">
        <v>203</v>
      </c>
      <c r="B60" s="234">
        <v>-3485.4</v>
      </c>
      <c r="C60" s="235"/>
      <c r="D60" s="149">
        <v>-3485.4</v>
      </c>
      <c r="E60" s="217"/>
      <c r="F60" s="234">
        <v>-6345</v>
      </c>
      <c r="G60" s="235"/>
      <c r="H60" s="149">
        <v>-6345</v>
      </c>
      <c r="I60" s="218"/>
      <c r="J60" s="234">
        <v>-10138.588950511499</v>
      </c>
      <c r="K60" s="235"/>
      <c r="L60" s="149">
        <f>+J60</f>
        <v>-10138.588950511499</v>
      </c>
      <c r="M60" s="218"/>
      <c r="N60" s="234">
        <v>-6952</v>
      </c>
      <c r="O60" s="235">
        <v>0</v>
      </c>
      <c r="P60" s="149">
        <f>N60</f>
        <v>-6952</v>
      </c>
      <c r="Q60" s="218"/>
      <c r="R60" s="234">
        <v>-8545.2944752557487</v>
      </c>
      <c r="S60" s="235"/>
      <c r="T60" s="149">
        <v>-8545.2944752557487</v>
      </c>
      <c r="U60" s="218"/>
      <c r="W60" s="234">
        <f t="shared" si="46"/>
        <v>3048</v>
      </c>
      <c r="X60" s="235">
        <f t="shared" si="46"/>
        <v>0</v>
      </c>
      <c r="Y60" s="149">
        <f t="shared" si="46"/>
        <v>3048</v>
      </c>
      <c r="Z60" s="218">
        <f t="shared" si="46"/>
        <v>0</v>
      </c>
      <c r="AA60" s="234">
        <f t="shared" si="46"/>
        <v>1454.7055247442513</v>
      </c>
      <c r="AB60" s="235">
        <f t="shared" si="46"/>
        <v>0</v>
      </c>
      <c r="AC60" s="149">
        <f t="shared" si="46"/>
        <v>1454.7055247442513</v>
      </c>
      <c r="AD60" s="218">
        <f t="shared" si="46"/>
        <v>0</v>
      </c>
      <c r="AF60" s="239" t="s">
        <v>203</v>
      </c>
      <c r="AG60" s="234">
        <v>-10000</v>
      </c>
      <c r="AH60" s="235"/>
      <c r="AI60" s="149">
        <v>-10000</v>
      </c>
      <c r="AJ60" s="218"/>
      <c r="AK60" s="234">
        <v>-10000</v>
      </c>
      <c r="AL60" s="235"/>
      <c r="AM60" s="149">
        <v>-10000</v>
      </c>
      <c r="AN60" s="218"/>
    </row>
    <row r="61" spans="1:40" ht="5.0999999999999996" customHeight="1" x14ac:dyDescent="0.2">
      <c r="A61" s="243"/>
      <c r="B61" s="240"/>
      <c r="C61" s="241"/>
      <c r="D61" s="241"/>
      <c r="E61" s="242"/>
      <c r="F61" s="240"/>
      <c r="G61" s="241"/>
      <c r="H61" s="241"/>
      <c r="I61" s="244"/>
      <c r="J61" s="240"/>
      <c r="K61" s="241"/>
      <c r="L61" s="241"/>
      <c r="M61" s="244"/>
      <c r="N61" s="240"/>
      <c r="O61" s="241"/>
      <c r="P61" s="241"/>
      <c r="Q61" s="244"/>
      <c r="R61" s="240"/>
      <c r="S61" s="241"/>
      <c r="T61" s="241"/>
      <c r="U61" s="244"/>
      <c r="W61" s="240"/>
      <c r="X61" s="241"/>
      <c r="Y61" s="241"/>
      <c r="Z61" s="244"/>
      <c r="AA61" s="240"/>
      <c r="AB61" s="241"/>
      <c r="AC61" s="241"/>
      <c r="AD61" s="244"/>
      <c r="AF61" s="243"/>
      <c r="AG61" s="240"/>
      <c r="AH61" s="241"/>
      <c r="AI61" s="241"/>
      <c r="AJ61" s="244"/>
      <c r="AK61" s="240"/>
      <c r="AL61" s="241"/>
      <c r="AM61" s="241"/>
      <c r="AN61" s="244"/>
    </row>
    <row r="62" spans="1:40" x14ac:dyDescent="0.2">
      <c r="A62" s="245" t="s">
        <v>204</v>
      </c>
      <c r="B62" s="232">
        <f>+B47+B57+B58+B59+B60</f>
        <v>974752.1</v>
      </c>
      <c r="C62" s="246">
        <f>+C47+C57+C58+C59+C60</f>
        <v>604578.02445698553</v>
      </c>
      <c r="D62" s="246">
        <f>+D47+D57+D58+D59+D60</f>
        <v>370174.07554301445</v>
      </c>
      <c r="E62" s="224">
        <f>IF(B62&lt;&gt;0,C62/B62,0)</f>
        <v>0.62023772450142511</v>
      </c>
      <c r="F62" s="232">
        <f>+F47+F57+F58+F59+F60</f>
        <v>927229.59999999986</v>
      </c>
      <c r="G62" s="246">
        <f>+G47+G57+G58+G59+G60</f>
        <v>537670.44157997053</v>
      </c>
      <c r="H62" s="246">
        <f>+H47+H57+H58+H59+H60</f>
        <v>389559.15842002933</v>
      </c>
      <c r="I62" s="225">
        <f>IF(F62&lt;&gt;0,G62/F62,0)</f>
        <v>0.57986764182244677</v>
      </c>
      <c r="J62" s="232">
        <f>+J47+J57+J58+J59+J60</f>
        <v>909485.13694448839</v>
      </c>
      <c r="K62" s="246">
        <f>+K47+K57+K58+K59+K60</f>
        <v>499635.88093448844</v>
      </c>
      <c r="L62" s="246">
        <f>+L47+L57+L58+L59+L60</f>
        <v>409849.25600999995</v>
      </c>
      <c r="M62" s="225">
        <f>IF(J62&lt;&gt;0,K62/J62,0)</f>
        <v>0.54936123817599491</v>
      </c>
      <c r="N62" s="232">
        <f>+N47+N57+N58+N60</f>
        <v>914484.99008999986</v>
      </c>
      <c r="O62" s="246">
        <f>+O47+O57+O58+O60</f>
        <v>507828.43061169935</v>
      </c>
      <c r="P62" s="246">
        <f>+P47+P57+P58+P59+P60</f>
        <v>406656.55947830057</v>
      </c>
      <c r="Q62" s="225">
        <f>IF(N62&lt;&gt;0,O62/N62,0)</f>
        <v>0.55531631039862228</v>
      </c>
      <c r="R62" s="232">
        <f>+R47+R57+R58+R59+R60</f>
        <v>909361.28569102788</v>
      </c>
      <c r="S62" s="246">
        <f>+S47+S57+S58+S59+S60</f>
        <v>520289.68883491628</v>
      </c>
      <c r="T62" s="246">
        <f>+T47+T57+T58+T59+T60</f>
        <v>389071.59685611154</v>
      </c>
      <c r="U62" s="225">
        <f>IF(R62&lt;&gt;0,S62/R62,0)</f>
        <v>0.5721484925977971</v>
      </c>
      <c r="W62" s="232">
        <f t="shared" ref="W62:AD62" si="47">IFERROR(N62-AG62,"")</f>
        <v>2693.8400899998378</v>
      </c>
      <c r="X62" s="246">
        <f t="shared" si="47"/>
        <v>648.56101169931935</v>
      </c>
      <c r="Y62" s="246">
        <f t="shared" si="47"/>
        <v>2045.2790783006349</v>
      </c>
      <c r="Z62" s="225">
        <f t="shared" si="47"/>
        <v>-9.293491474261506E-4</v>
      </c>
      <c r="AA62" s="232">
        <f t="shared" si="47"/>
        <v>1101.9025492651854</v>
      </c>
      <c r="AB62" s="246">
        <f t="shared" si="47"/>
        <v>8651.3805686327978</v>
      </c>
      <c r="AC62" s="246">
        <f t="shared" si="47"/>
        <v>-7549.4780193675542</v>
      </c>
      <c r="AD62" s="225">
        <f t="shared" si="47"/>
        <v>8.8310991716219478E-3</v>
      </c>
      <c r="AF62" s="245" t="s">
        <v>204</v>
      </c>
      <c r="AG62" s="232">
        <v>911791.15</v>
      </c>
      <c r="AH62" s="246">
        <v>507179.86960000003</v>
      </c>
      <c r="AI62" s="246">
        <v>404611.28039999993</v>
      </c>
      <c r="AJ62" s="225">
        <v>0.55624565954604843</v>
      </c>
      <c r="AK62" s="232">
        <v>908259.38314176269</v>
      </c>
      <c r="AL62" s="246">
        <v>511638.30826628348</v>
      </c>
      <c r="AM62" s="246">
        <v>396621.0748754791</v>
      </c>
      <c r="AN62" s="225">
        <v>0.56331739342617515</v>
      </c>
    </row>
    <row r="63" spans="1:40" x14ac:dyDescent="0.2">
      <c r="B63" s="247"/>
      <c r="C63" s="247"/>
      <c r="D63" s="247"/>
      <c r="E63" s="247"/>
      <c r="F63" s="247"/>
      <c r="G63" s="247"/>
      <c r="H63" s="247"/>
      <c r="I63" s="248"/>
      <c r="J63" s="247"/>
      <c r="K63" s="247"/>
      <c r="L63" s="247"/>
      <c r="M63" s="248"/>
      <c r="N63" s="247"/>
      <c r="O63" s="247"/>
      <c r="P63" s="249"/>
      <c r="Q63" s="250"/>
      <c r="R63" s="247"/>
      <c r="S63" s="247"/>
      <c r="T63" s="247"/>
      <c r="U63" s="248"/>
      <c r="AI63" s="247"/>
    </row>
    <row r="64" spans="1:40" x14ac:dyDescent="0.2">
      <c r="A64" s="251"/>
      <c r="N64" s="165"/>
      <c r="O64" s="165"/>
      <c r="P64" s="165"/>
      <c r="R64" s="253"/>
      <c r="S64" s="165"/>
      <c r="T64" s="254"/>
    </row>
  </sheetData>
  <mergeCells count="11">
    <mergeCell ref="W4:AD5"/>
    <mergeCell ref="AF4:AN5"/>
    <mergeCell ref="B6:E6"/>
    <mergeCell ref="AG6:AJ6"/>
    <mergeCell ref="AK6:AN6"/>
    <mergeCell ref="F6:I6"/>
    <mergeCell ref="J6:M6"/>
    <mergeCell ref="N6:Q6"/>
    <mergeCell ref="R6:U6"/>
    <mergeCell ref="W6:Z6"/>
    <mergeCell ref="AA6:AD6"/>
  </mergeCells>
  <pageMargins left="0.46" right="0.2" top="0.75" bottom="0.5" header="0.5" footer="0.5"/>
  <pageSetup scale="55" orientation="landscape" r:id="rId1"/>
  <headerFooter>
    <oddFooter>&amp;L&amp;KFF0000Final Rate Application&amp;CPage &amp;P of &amp;N&amp;R02/10/2017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  <pageSetUpPr fitToPage="1"/>
  </sheetPr>
  <dimension ref="A1:W1048576"/>
  <sheetViews>
    <sheetView zoomScaleNormal="100" zoomScaleSheetLayoutView="115" workbookViewId="0"/>
  </sheetViews>
  <sheetFormatPr defaultRowHeight="15" customHeight="1" x14ac:dyDescent="0.2"/>
  <cols>
    <col min="1" max="1" width="47.85546875" style="260" customWidth="1"/>
    <col min="2" max="4" width="15.7109375" style="262" customWidth="1"/>
    <col min="5" max="6" width="15.5703125" style="262" customWidth="1"/>
    <col min="7" max="7" width="1.42578125" style="260" customWidth="1"/>
    <col min="8" max="10" width="11.140625" style="260" customWidth="1"/>
    <col min="11" max="11" width="11.28515625" style="260" bestFit="1" customWidth="1"/>
    <col min="12" max="12" width="16.140625" style="260" bestFit="1" customWidth="1"/>
    <col min="13" max="13" width="2.5703125" style="260" customWidth="1"/>
    <col min="14" max="14" width="47.42578125" style="260" bestFit="1" customWidth="1"/>
    <col min="15" max="18" width="13.28515625" style="260" customWidth="1"/>
    <col min="19" max="19" width="16.140625" style="260" bestFit="1" customWidth="1"/>
    <col min="20" max="16384" width="9.140625" style="260"/>
  </cols>
  <sheetData>
    <row r="1" spans="1:23" ht="15" customHeight="1" x14ac:dyDescent="0.2">
      <c r="A1" s="261" t="s">
        <v>0</v>
      </c>
    </row>
    <row r="2" spans="1:23" ht="15" customHeight="1" x14ac:dyDescent="0.2">
      <c r="A2" s="260" t="s">
        <v>206</v>
      </c>
      <c r="D2" s="263"/>
      <c r="E2" s="263"/>
      <c r="F2" s="263"/>
      <c r="T2" s="264"/>
      <c r="U2" s="264"/>
      <c r="V2" s="264"/>
    </row>
    <row r="3" spans="1:23" ht="15" customHeight="1" x14ac:dyDescent="0.2">
      <c r="A3" s="265" t="s">
        <v>14</v>
      </c>
      <c r="D3" s="263"/>
      <c r="E3" s="263"/>
      <c r="F3" s="263"/>
      <c r="H3" s="1522" t="s">
        <v>74</v>
      </c>
      <c r="I3" s="1523"/>
      <c r="J3" s="1523"/>
      <c r="K3" s="1523"/>
      <c r="L3" s="1524"/>
      <c r="N3" s="1497" t="s">
        <v>75</v>
      </c>
      <c r="O3" s="1498"/>
      <c r="P3" s="1498"/>
      <c r="Q3" s="1498"/>
      <c r="R3" s="1498"/>
      <c r="S3" s="1499"/>
      <c r="T3" s="122"/>
      <c r="U3" s="122"/>
      <c r="V3" s="122"/>
      <c r="W3" s="266"/>
    </row>
    <row r="4" spans="1:23" ht="15" customHeight="1" x14ac:dyDescent="0.2">
      <c r="H4" s="1525"/>
      <c r="I4" s="1526"/>
      <c r="J4" s="1526"/>
      <c r="K4" s="1527"/>
      <c r="L4" s="1528"/>
      <c r="N4" s="1529"/>
      <c r="O4" s="1502"/>
      <c r="P4" s="1502"/>
      <c r="Q4" s="1502"/>
      <c r="R4" s="1502"/>
      <c r="S4" s="1503"/>
      <c r="T4" s="122"/>
      <c r="U4" s="122"/>
      <c r="V4" s="122"/>
      <c r="W4" s="266"/>
    </row>
    <row r="5" spans="1:23" ht="16.5" customHeight="1" x14ac:dyDescent="0.2">
      <c r="B5" s="1504" t="s">
        <v>207</v>
      </c>
      <c r="C5" s="1505"/>
      <c r="D5" s="1506"/>
      <c r="E5" s="267" t="s">
        <v>208</v>
      </c>
      <c r="F5" s="19" t="s">
        <v>209</v>
      </c>
      <c r="H5" s="1504" t="s">
        <v>207</v>
      </c>
      <c r="I5" s="1505"/>
      <c r="J5" s="1506"/>
      <c r="K5" s="267" t="s">
        <v>208</v>
      </c>
      <c r="L5" s="19" t="s">
        <v>209</v>
      </c>
      <c r="N5" s="268"/>
      <c r="O5" s="1504" t="s">
        <v>207</v>
      </c>
      <c r="P5" s="1505"/>
      <c r="Q5" s="1506"/>
      <c r="R5" s="267" t="s">
        <v>208</v>
      </c>
      <c r="S5" s="19" t="s">
        <v>209</v>
      </c>
      <c r="T5" s="264"/>
      <c r="U5" s="264"/>
      <c r="V5" s="264"/>
    </row>
    <row r="6" spans="1:23" s="269" customFormat="1" ht="18" customHeight="1" x14ac:dyDescent="0.2">
      <c r="A6" s="270"/>
      <c r="B6" s="272" t="s">
        <v>102</v>
      </c>
      <c r="C6" s="272" t="s">
        <v>103</v>
      </c>
      <c r="D6" s="272" t="s">
        <v>104</v>
      </c>
      <c r="E6" s="128" t="s">
        <v>99</v>
      </c>
      <c r="F6" s="273" t="s">
        <v>69</v>
      </c>
      <c r="H6" s="272" t="s">
        <v>102</v>
      </c>
      <c r="I6" s="272" t="s">
        <v>103</v>
      </c>
      <c r="J6" s="272" t="s">
        <v>104</v>
      </c>
      <c r="K6" s="128" t="s">
        <v>99</v>
      </c>
      <c r="L6" s="273" t="s">
        <v>69</v>
      </c>
      <c r="N6" s="274"/>
      <c r="O6" s="272" t="s">
        <v>102</v>
      </c>
      <c r="P6" s="272" t="s">
        <v>103</v>
      </c>
      <c r="Q6" s="272" t="s">
        <v>104</v>
      </c>
      <c r="R6" s="128" t="s">
        <v>99</v>
      </c>
      <c r="S6" s="273" t="s">
        <v>69</v>
      </c>
    </row>
    <row r="7" spans="1:23" ht="15" customHeight="1" x14ac:dyDescent="0.2">
      <c r="A7" s="275" t="s">
        <v>210</v>
      </c>
      <c r="B7" s="277"/>
      <c r="C7" s="277"/>
      <c r="D7" s="277"/>
      <c r="E7" s="277"/>
      <c r="F7" s="276"/>
      <c r="H7" s="276"/>
      <c r="I7" s="276"/>
      <c r="J7" s="278"/>
      <c r="K7" s="277"/>
      <c r="L7" s="276"/>
      <c r="N7" s="275" t="s">
        <v>211</v>
      </c>
      <c r="O7" s="276"/>
      <c r="P7" s="276"/>
      <c r="Q7" s="277"/>
      <c r="R7" s="277"/>
      <c r="S7" s="276"/>
    </row>
    <row r="8" spans="1:23" ht="15.95" customHeight="1" x14ac:dyDescent="0.2">
      <c r="A8" s="279" t="s">
        <v>212</v>
      </c>
      <c r="B8" s="278"/>
      <c r="C8" s="278"/>
      <c r="D8" s="278"/>
      <c r="E8" s="278"/>
      <c r="F8" s="280"/>
      <c r="H8" s="280"/>
      <c r="I8" s="280"/>
      <c r="J8" s="278"/>
      <c r="K8" s="278"/>
      <c r="L8" s="280"/>
      <c r="N8" s="279" t="s">
        <v>212</v>
      </c>
      <c r="O8" s="280"/>
      <c r="P8" s="280"/>
      <c r="Q8" s="278"/>
      <c r="R8" s="278"/>
      <c r="S8" s="280"/>
    </row>
    <row r="9" spans="1:23" ht="15.95" customHeight="1" x14ac:dyDescent="0.2">
      <c r="A9" s="279" t="s">
        <v>213</v>
      </c>
      <c r="B9" s="281">
        <f>+E!$B$54</f>
        <v>139402</v>
      </c>
      <c r="C9" s="281">
        <f>+E!$F$54</f>
        <v>143573.79999999999</v>
      </c>
      <c r="D9" s="281">
        <f>+E!$J$54</f>
        <v>143686.92999999996</v>
      </c>
      <c r="E9" s="281">
        <f>+E!$N$54</f>
        <v>143786.49800000002</v>
      </c>
      <c r="F9" s="281">
        <f>+E!$R$54</f>
        <v>145737.59187739465</v>
      </c>
      <c r="G9" s="282"/>
      <c r="H9" s="281">
        <f>IFERROR(B9-O9,"")</f>
        <v>0</v>
      </c>
      <c r="I9" s="281">
        <f>IFERROR(C9-P9,"")</f>
        <v>0</v>
      </c>
      <c r="J9" s="281">
        <f>IFERROR(D9-Q9,"")</f>
        <v>0</v>
      </c>
      <c r="K9" s="281">
        <f>IFERROR(E9-R9,"")</f>
        <v>-144.65199999997276</v>
      </c>
      <c r="L9" s="281">
        <f>IFERROR(F9-S9,"")</f>
        <v>2357.9022222222411</v>
      </c>
      <c r="M9" s="282"/>
      <c r="N9" s="279" t="s">
        <v>213</v>
      </c>
      <c r="O9" s="281">
        <v>139402</v>
      </c>
      <c r="P9" s="281">
        <v>143573.79999999999</v>
      </c>
      <c r="Q9" s="281">
        <v>143686.92999999996</v>
      </c>
      <c r="R9" s="281">
        <v>143931.15</v>
      </c>
      <c r="S9" s="281">
        <v>143379.68965517241</v>
      </c>
    </row>
    <row r="10" spans="1:23" ht="15.95" customHeight="1" x14ac:dyDescent="0.2">
      <c r="A10" s="279" t="s">
        <v>214</v>
      </c>
      <c r="B10" s="283">
        <f>SUM(E!$B$17:$B$19)</f>
        <v>161869.4</v>
      </c>
      <c r="C10" s="283">
        <f>SUM(E!$F$17:$F$19)</f>
        <v>168365</v>
      </c>
      <c r="D10" s="283">
        <f>SUM(E!$J$17:$J$19)</f>
        <v>169829.96999999994</v>
      </c>
      <c r="E10" s="281">
        <f>SUM(E!$N$17:$N$19)</f>
        <v>171756.22499999998</v>
      </c>
      <c r="F10" s="281">
        <f>SUM(E!$R$17:$R$19)</f>
        <v>172766.1551724138</v>
      </c>
      <c r="G10" s="282"/>
      <c r="H10" s="281">
        <f t="shared" ref="H10:L20" si="0">IFERROR(B10-O10,"")</f>
        <v>0</v>
      </c>
      <c r="I10" s="281">
        <f t="shared" si="0"/>
        <v>0</v>
      </c>
      <c r="J10" s="281">
        <f t="shared" si="0"/>
        <v>0</v>
      </c>
      <c r="K10" s="281">
        <f t="shared" si="0"/>
        <v>1756.2249999999767</v>
      </c>
      <c r="L10" s="281">
        <f t="shared" si="0"/>
        <v>3417.4961685823509</v>
      </c>
      <c r="M10" s="282"/>
      <c r="N10" s="279" t="s">
        <v>215</v>
      </c>
      <c r="O10" s="281">
        <v>161869.4</v>
      </c>
      <c r="P10" s="283">
        <v>168365</v>
      </c>
      <c r="Q10" s="283">
        <v>169829.96999999994</v>
      </c>
      <c r="R10" s="281">
        <v>170000</v>
      </c>
      <c r="S10" s="281">
        <v>169348.65900383145</v>
      </c>
    </row>
    <row r="11" spans="1:23" ht="15.95" customHeight="1" x14ac:dyDescent="0.2">
      <c r="A11" s="284" t="s">
        <v>216</v>
      </c>
      <c r="B11" s="283">
        <f>+E!$B$27</f>
        <v>64812.4</v>
      </c>
      <c r="C11" s="283">
        <f>+E!$F$27</f>
        <v>74317.8</v>
      </c>
      <c r="D11" s="283">
        <f>+E!$J$27</f>
        <v>75768.494999999995</v>
      </c>
      <c r="E11" s="281">
        <f>+E!$N$27</f>
        <v>73114.14999999998</v>
      </c>
      <c r="F11" s="281">
        <f>+E!$R$27</f>
        <v>72834.0191570881</v>
      </c>
      <c r="G11" s="282"/>
      <c r="H11" s="281">
        <f t="shared" si="0"/>
        <v>0</v>
      </c>
      <c r="I11" s="281">
        <f t="shared" si="0"/>
        <v>0</v>
      </c>
      <c r="J11" s="281">
        <f t="shared" si="0"/>
        <v>0</v>
      </c>
      <c r="K11" s="281">
        <f t="shared" si="0"/>
        <v>-2885.8500000000204</v>
      </c>
      <c r="L11" s="281">
        <f t="shared" si="0"/>
        <v>-2874.7931034483045</v>
      </c>
      <c r="M11" s="282"/>
      <c r="N11" s="279" t="s">
        <v>217</v>
      </c>
      <c r="O11" s="281">
        <v>64812.4</v>
      </c>
      <c r="P11" s="283">
        <v>74317.8</v>
      </c>
      <c r="Q11" s="283">
        <v>75768.494999999995</v>
      </c>
      <c r="R11" s="281">
        <v>76000</v>
      </c>
      <c r="S11" s="281">
        <v>75708.812260536404</v>
      </c>
    </row>
    <row r="12" spans="1:23" ht="15.95" customHeight="1" x14ac:dyDescent="0.2">
      <c r="A12" s="279" t="s">
        <v>218</v>
      </c>
      <c r="B12" s="283">
        <f>+E!$B$14</f>
        <v>256616</v>
      </c>
      <c r="C12" s="283">
        <f>+E!$F$14</f>
        <v>261417.8</v>
      </c>
      <c r="D12" s="283">
        <f>+E!$J$14</f>
        <v>269223.45499999996</v>
      </c>
      <c r="E12" s="281">
        <f>+E!$N$14</f>
        <v>269339.33999999991</v>
      </c>
      <c r="F12" s="281">
        <f>+E!$R$14</f>
        <v>264137.38850574708</v>
      </c>
      <c r="G12" s="282"/>
      <c r="H12" s="281">
        <f t="shared" si="0"/>
        <v>0</v>
      </c>
      <c r="I12" s="281">
        <f t="shared" si="0"/>
        <v>0</v>
      </c>
      <c r="J12" s="281">
        <f t="shared" si="0"/>
        <v>0</v>
      </c>
      <c r="K12" s="281">
        <f t="shared" si="0"/>
        <v>-1060.6600000000908</v>
      </c>
      <c r="L12" s="281">
        <f t="shared" si="0"/>
        <v>-5226.5961685824441</v>
      </c>
      <c r="M12" s="282"/>
      <c r="N12" s="279" t="s">
        <v>219</v>
      </c>
      <c r="O12" s="281">
        <v>256616</v>
      </c>
      <c r="P12" s="283">
        <v>261417.8</v>
      </c>
      <c r="Q12" s="283">
        <v>269223.45499999996</v>
      </c>
      <c r="R12" s="281">
        <v>270400</v>
      </c>
      <c r="S12" s="281">
        <v>269363.98467432952</v>
      </c>
    </row>
    <row r="13" spans="1:23" ht="15.95" customHeight="1" x14ac:dyDescent="0.2">
      <c r="A13" s="279" t="s">
        <v>220</v>
      </c>
      <c r="B13" s="283">
        <f>+E!$B$40+E!$B$41+E!$B$44+E!$B$45</f>
        <v>9189</v>
      </c>
      <c r="C13" s="283">
        <f>+E!$F$40+E!$F$41+E!$F$44+E!$F$45</f>
        <v>10919</v>
      </c>
      <c r="D13" s="283">
        <f>+E!$J$40+E!$J$41+E!$J$44+E!$J$45</f>
        <v>12234.760000000006</v>
      </c>
      <c r="E13" s="281">
        <f>+E!$N$40+E!$N$41+E!$N$44+E!$N$45</f>
        <v>13455.17</v>
      </c>
      <c r="F13" s="281">
        <f>+E!$R$40+E!$R$41+E!$R$44+E!$R$45</f>
        <v>13403.617624521074</v>
      </c>
      <c r="G13" s="282"/>
      <c r="H13" s="281">
        <f t="shared" si="0"/>
        <v>0</v>
      </c>
      <c r="I13" s="281">
        <f t="shared" si="0"/>
        <v>0</v>
      </c>
      <c r="J13" s="281">
        <f t="shared" si="0"/>
        <v>0</v>
      </c>
      <c r="K13" s="281">
        <f t="shared" si="0"/>
        <v>1245.17</v>
      </c>
      <c r="L13" s="281">
        <f t="shared" si="0"/>
        <v>1240.3992337164782</v>
      </c>
      <c r="M13" s="282"/>
      <c r="N13" s="279" t="s">
        <v>220</v>
      </c>
      <c r="O13" s="281">
        <v>9189</v>
      </c>
      <c r="P13" s="283">
        <v>10919</v>
      </c>
      <c r="Q13" s="283">
        <v>12234.760000000006</v>
      </c>
      <c r="R13" s="281">
        <v>12210</v>
      </c>
      <c r="S13" s="281">
        <v>12163.218390804595</v>
      </c>
    </row>
    <row r="14" spans="1:23" ht="15.95" customHeight="1" x14ac:dyDescent="0.2">
      <c r="A14" s="285" t="s">
        <v>221</v>
      </c>
      <c r="B14" s="277">
        <f t="shared" ref="B14:F14" si="1">SUM(B9:B13)</f>
        <v>631888.80000000005</v>
      </c>
      <c r="C14" s="277">
        <f t="shared" si="1"/>
        <v>658593.39999999991</v>
      </c>
      <c r="D14" s="287">
        <f t="shared" si="1"/>
        <v>670743.60999999987</v>
      </c>
      <c r="E14" s="277">
        <f t="shared" si="1"/>
        <v>671451.38299999991</v>
      </c>
      <c r="F14" s="276">
        <f t="shared" si="1"/>
        <v>668878.77233716461</v>
      </c>
      <c r="G14" s="282"/>
      <c r="H14" s="288">
        <f t="shared" si="0"/>
        <v>0</v>
      </c>
      <c r="I14" s="288">
        <f t="shared" si="0"/>
        <v>0</v>
      </c>
      <c r="J14" s="288">
        <f t="shared" si="0"/>
        <v>0</v>
      </c>
      <c r="K14" s="276">
        <f t="shared" si="0"/>
        <v>-1089.767000000109</v>
      </c>
      <c r="L14" s="276">
        <f t="shared" si="0"/>
        <v>-1085.5916475097183</v>
      </c>
      <c r="M14" s="282"/>
      <c r="N14" s="285" t="s">
        <v>221</v>
      </c>
      <c r="O14" s="286">
        <v>631888.80000000005</v>
      </c>
      <c r="P14" s="276">
        <v>658593.39999999991</v>
      </c>
      <c r="Q14" s="277">
        <v>670743.60999999987</v>
      </c>
      <c r="R14" s="277">
        <v>672541.15</v>
      </c>
      <c r="S14" s="276">
        <v>669964.36398467433</v>
      </c>
    </row>
    <row r="15" spans="1:23" ht="15.95" customHeight="1" x14ac:dyDescent="0.2">
      <c r="A15" s="279" t="s">
        <v>222</v>
      </c>
      <c r="B15" s="281">
        <f>+E!$B$23+E!$B$31+E!$B$39</f>
        <v>33271.4</v>
      </c>
      <c r="C15" s="281">
        <f>+E!$F$23+E!$F$31+E!$F$39</f>
        <v>35199.800000000003</v>
      </c>
      <c r="D15" s="281">
        <f>+E!$J$23+E!$J$31+E!$J$39</f>
        <v>38375.67</v>
      </c>
      <c r="E15" s="281">
        <f>+E!$N$23+E!$N$31+E!$N$39</f>
        <v>38632.230000000003</v>
      </c>
      <c r="F15" s="281">
        <f>+E!$R$31+E!$R$39+E!$R$23</f>
        <v>38484.213793103452</v>
      </c>
      <c r="G15" s="282"/>
      <c r="H15" s="281">
        <f t="shared" si="0"/>
        <v>0</v>
      </c>
      <c r="I15" s="281">
        <f t="shared" si="0"/>
        <v>0</v>
      </c>
      <c r="J15" s="281">
        <f t="shared" si="0"/>
        <v>0</v>
      </c>
      <c r="K15" s="281">
        <f t="shared" si="0"/>
        <v>32.230000000003201</v>
      </c>
      <c r="L15" s="281">
        <f t="shared" si="0"/>
        <v>32.106513409962645</v>
      </c>
      <c r="M15" s="282"/>
      <c r="N15" s="279" t="s">
        <v>222</v>
      </c>
      <c r="O15" s="281">
        <v>33271.4</v>
      </c>
      <c r="P15" s="281">
        <v>35199.800000000003</v>
      </c>
      <c r="Q15" s="281">
        <v>38375.67</v>
      </c>
      <c r="R15" s="281">
        <v>38600</v>
      </c>
      <c r="S15" s="281">
        <v>38452.10727969349</v>
      </c>
    </row>
    <row r="16" spans="1:23" ht="15.95" customHeight="1" x14ac:dyDescent="0.2">
      <c r="A16" s="279" t="s">
        <v>223</v>
      </c>
      <c r="B16" s="281">
        <f>+E!$B$20+E!$B$28+E!$B$35+E!$B$37+E!$B$22+E!$B$30</f>
        <v>18035.400000000001</v>
      </c>
      <c r="C16" s="281">
        <f>+E!$F$20+E!$F$28+E!$F$35+E!$F$37+E!$F$22+E!$F$30</f>
        <v>20416.200000000004</v>
      </c>
      <c r="D16" s="281">
        <f>+E!$J$20+E!$J$28+E!$J$35+E!$J$37+E!$J$22+E!$J$30</f>
        <v>22860.110000000015</v>
      </c>
      <c r="E16" s="281">
        <f>+E!$N$20+E!$N$28+E!$N$35+E!$N$37+E!$N$22+E!$N$30</f>
        <v>24713.940000000021</v>
      </c>
      <c r="F16" s="281">
        <f>+E!$R$20+E!$R$28+E!$R$35++E!$R$37+E!$R$22+E!$R$30</f>
        <v>24619.25057471266</v>
      </c>
      <c r="G16" s="282"/>
      <c r="H16" s="281">
        <f t="shared" si="0"/>
        <v>0</v>
      </c>
      <c r="I16" s="281">
        <f t="shared" si="0"/>
        <v>0</v>
      </c>
      <c r="J16" s="281">
        <f t="shared" si="0"/>
        <v>0</v>
      </c>
      <c r="K16" s="281">
        <f t="shared" si="0"/>
        <v>1713.9400000000205</v>
      </c>
      <c r="L16" s="281">
        <f t="shared" si="0"/>
        <v>1707.3731800766473</v>
      </c>
      <c r="M16" s="282"/>
      <c r="N16" s="279" t="s">
        <v>223</v>
      </c>
      <c r="O16" s="281">
        <v>18035.400000000001</v>
      </c>
      <c r="P16" s="281">
        <v>20416.200000000004</v>
      </c>
      <c r="Q16" s="281">
        <v>22860.110000000015</v>
      </c>
      <c r="R16" s="281">
        <v>23000</v>
      </c>
      <c r="S16" s="281">
        <v>22911.877394636012</v>
      </c>
    </row>
    <row r="17" spans="1:19" ht="15.95" customHeight="1" x14ac:dyDescent="0.2">
      <c r="A17" s="285" t="s">
        <v>224</v>
      </c>
      <c r="B17" s="277">
        <f t="shared" ref="B17:F17" si="2">B14+B15+B16</f>
        <v>683195.60000000009</v>
      </c>
      <c r="C17" s="277">
        <f t="shared" si="2"/>
        <v>714209.39999999991</v>
      </c>
      <c r="D17" s="287">
        <f t="shared" si="2"/>
        <v>731979.3899999999</v>
      </c>
      <c r="E17" s="277">
        <f t="shared" si="2"/>
        <v>734797.55299999996</v>
      </c>
      <c r="F17" s="276">
        <f t="shared" si="2"/>
        <v>731982.23670498072</v>
      </c>
      <c r="G17" s="282"/>
      <c r="H17" s="288">
        <f t="shared" si="0"/>
        <v>0</v>
      </c>
      <c r="I17" s="288">
        <f t="shared" si="0"/>
        <v>0</v>
      </c>
      <c r="J17" s="288">
        <f t="shared" si="0"/>
        <v>0</v>
      </c>
      <c r="K17" s="276">
        <f t="shared" si="0"/>
        <v>656.40299999993294</v>
      </c>
      <c r="L17" s="276">
        <f t="shared" si="0"/>
        <v>653.88804597686976</v>
      </c>
      <c r="M17" s="282"/>
      <c r="N17" s="285" t="s">
        <v>224</v>
      </c>
      <c r="O17" s="276">
        <v>683195.60000000009</v>
      </c>
      <c r="P17" s="277">
        <v>714209.39999999991</v>
      </c>
      <c r="Q17" s="277">
        <v>731979.3899999999</v>
      </c>
      <c r="R17" s="277">
        <v>734141.15</v>
      </c>
      <c r="S17" s="276">
        <v>731328.34865900385</v>
      </c>
    </row>
    <row r="18" spans="1:19" ht="15.95" customHeight="1" x14ac:dyDescent="0.2">
      <c r="A18" s="279" t="s">
        <v>225</v>
      </c>
      <c r="B18" s="289">
        <v>1881</v>
      </c>
      <c r="C18" s="289">
        <v>2220.83</v>
      </c>
      <c r="D18" s="289">
        <v>2727.0099999999957</v>
      </c>
      <c r="E18" s="289">
        <v>2614.88</v>
      </c>
      <c r="F18" s="289">
        <f>+E18</f>
        <v>2614.88</v>
      </c>
      <c r="G18" s="282"/>
      <c r="H18" s="281">
        <f t="shared" si="0"/>
        <v>0</v>
      </c>
      <c r="I18" s="281">
        <f t="shared" si="0"/>
        <v>0</v>
      </c>
      <c r="J18" s="281">
        <f t="shared" si="0"/>
        <v>0</v>
      </c>
      <c r="K18" s="281">
        <f t="shared" si="0"/>
        <v>0</v>
      </c>
      <c r="L18" s="281">
        <f t="shared" si="0"/>
        <v>0</v>
      </c>
      <c r="M18" s="282"/>
      <c r="N18" s="279" t="s">
        <v>225</v>
      </c>
      <c r="O18" s="280">
        <v>1881</v>
      </c>
      <c r="P18" s="280">
        <v>2220.83</v>
      </c>
      <c r="Q18" s="280">
        <v>2727.0099999999957</v>
      </c>
      <c r="R18" s="280">
        <v>2614.88</v>
      </c>
      <c r="S18" s="280">
        <v>2614.88</v>
      </c>
    </row>
    <row r="19" spans="1:19" ht="15.95" customHeight="1" x14ac:dyDescent="0.2">
      <c r="A19" s="290" t="s">
        <v>226</v>
      </c>
      <c r="B19" s="291">
        <f t="shared" ref="B19:F19" si="3">B17+B18</f>
        <v>685076.60000000009</v>
      </c>
      <c r="C19" s="291">
        <f t="shared" si="3"/>
        <v>716430.22999999986</v>
      </c>
      <c r="D19" s="292">
        <f t="shared" si="3"/>
        <v>734706.39999999991</v>
      </c>
      <c r="E19" s="291">
        <f t="shared" si="3"/>
        <v>737412.43299999996</v>
      </c>
      <c r="F19" s="291">
        <f t="shared" si="3"/>
        <v>734597.11670498073</v>
      </c>
      <c r="G19" s="282"/>
      <c r="H19" s="293">
        <f t="shared" si="0"/>
        <v>0</v>
      </c>
      <c r="I19" s="293">
        <f t="shared" si="0"/>
        <v>0</v>
      </c>
      <c r="J19" s="293">
        <f t="shared" si="0"/>
        <v>0</v>
      </c>
      <c r="K19" s="291">
        <f t="shared" si="0"/>
        <v>656.40299999993294</v>
      </c>
      <c r="L19" s="291">
        <f t="shared" si="0"/>
        <v>653.88804597686976</v>
      </c>
      <c r="M19" s="282"/>
      <c r="N19" s="290" t="s">
        <v>227</v>
      </c>
      <c r="O19" s="291">
        <v>685076.60000000009</v>
      </c>
      <c r="P19" s="291">
        <v>716430.22999999986</v>
      </c>
      <c r="Q19" s="291">
        <v>734706.39999999991</v>
      </c>
      <c r="R19" s="291">
        <v>736756.03</v>
      </c>
      <c r="S19" s="291">
        <v>733943.22865900386</v>
      </c>
    </row>
    <row r="20" spans="1:19" ht="15.95" customHeight="1" x14ac:dyDescent="0.2">
      <c r="A20" s="294" t="s">
        <v>228</v>
      </c>
      <c r="B20" s="295">
        <v>147.13</v>
      </c>
      <c r="C20" s="295">
        <v>151.47</v>
      </c>
      <c r="D20" s="295">
        <v>154.06</v>
      </c>
      <c r="E20" s="295">
        <v>156.62</v>
      </c>
      <c r="F20" s="295">
        <f>+B!B32</f>
        <v>186.15</v>
      </c>
      <c r="G20" s="282"/>
      <c r="H20" s="295">
        <f t="shared" si="0"/>
        <v>0</v>
      </c>
      <c r="I20" s="295">
        <f t="shared" si="0"/>
        <v>0</v>
      </c>
      <c r="J20" s="295">
        <f t="shared" si="0"/>
        <v>0</v>
      </c>
      <c r="K20" s="295">
        <f t="shared" si="0"/>
        <v>0</v>
      </c>
      <c r="L20" s="295">
        <f t="shared" si="0"/>
        <v>-0.69999999999998863</v>
      </c>
      <c r="M20" s="282"/>
      <c r="N20" s="294" t="s">
        <v>228</v>
      </c>
      <c r="O20" s="295">
        <v>147.13</v>
      </c>
      <c r="P20" s="295">
        <v>151.47</v>
      </c>
      <c r="Q20" s="295">
        <v>154.06</v>
      </c>
      <c r="R20" s="295">
        <v>156.62</v>
      </c>
      <c r="S20" s="295">
        <v>186.85</v>
      </c>
    </row>
    <row r="21" spans="1:19" ht="15.95" customHeight="1" x14ac:dyDescent="0.2">
      <c r="A21" s="275" t="s">
        <v>229</v>
      </c>
      <c r="B21" s="280"/>
      <c r="C21" s="280"/>
      <c r="D21" s="280"/>
      <c r="E21" s="280"/>
      <c r="F21" s="280"/>
      <c r="H21" s="280"/>
      <c r="I21" s="280"/>
      <c r="J21" s="280"/>
      <c r="K21" s="280"/>
      <c r="L21" s="280"/>
      <c r="N21" s="275" t="s">
        <v>229</v>
      </c>
      <c r="O21" s="280"/>
      <c r="P21" s="280"/>
      <c r="Q21" s="280"/>
      <c r="R21" s="280"/>
      <c r="S21" s="280"/>
    </row>
    <row r="22" spans="1:19" ht="15.95" customHeight="1" x14ac:dyDescent="0.2">
      <c r="A22" s="279" t="s">
        <v>212</v>
      </c>
      <c r="B22" s="278"/>
      <c r="C22" s="278"/>
      <c r="D22" s="278"/>
      <c r="E22" s="278"/>
      <c r="F22" s="280"/>
      <c r="H22" s="280"/>
      <c r="I22" s="280"/>
      <c r="J22" s="280"/>
      <c r="K22" s="280"/>
      <c r="L22" s="280"/>
      <c r="N22" s="279" t="s">
        <v>212</v>
      </c>
      <c r="O22" s="280"/>
      <c r="P22" s="280"/>
      <c r="Q22" s="278"/>
      <c r="R22" s="278"/>
      <c r="S22" s="280"/>
    </row>
    <row r="23" spans="1:19" ht="15.95" customHeight="1" x14ac:dyDescent="0.2">
      <c r="A23" s="279" t="s">
        <v>213</v>
      </c>
      <c r="B23" s="281">
        <f>+B9*B$20</f>
        <v>20510216.259999998</v>
      </c>
      <c r="C23" s="281">
        <f>+C9*C$20</f>
        <v>21747123.485999998</v>
      </c>
      <c r="D23" s="281">
        <f>+D9*D$20</f>
        <v>22136408.435799994</v>
      </c>
      <c r="E23" s="281">
        <f>+E9*E$20</f>
        <v>22519841.316760004</v>
      </c>
      <c r="F23" s="281">
        <f t="shared" ref="B23:F27" si="4">+F9*F$20</f>
        <v>27129052.727977015</v>
      </c>
      <c r="H23" s="281">
        <f t="shared" ref="H23:L33" si="5">IFERROR(B23-O23,"")</f>
        <v>0</v>
      </c>
      <c r="I23" s="281">
        <f t="shared" si="5"/>
        <v>0</v>
      </c>
      <c r="J23" s="281">
        <f t="shared" si="5"/>
        <v>0</v>
      </c>
      <c r="K23" s="281">
        <f t="shared" si="5"/>
        <v>-22655.396239995956</v>
      </c>
      <c r="L23" s="281">
        <f t="shared" si="5"/>
        <v>338557.71590805054</v>
      </c>
      <c r="N23" s="279" t="s">
        <v>213</v>
      </c>
      <c r="O23" s="281">
        <v>20510216.259999998</v>
      </c>
      <c r="P23" s="281">
        <v>21747123.485999998</v>
      </c>
      <c r="Q23" s="281">
        <v>22136408.435799994</v>
      </c>
      <c r="R23" s="281">
        <v>22542496.713</v>
      </c>
      <c r="S23" s="281">
        <v>26790495.012068965</v>
      </c>
    </row>
    <row r="24" spans="1:19" ht="15.95" customHeight="1" x14ac:dyDescent="0.2">
      <c r="A24" s="279" t="s">
        <v>214</v>
      </c>
      <c r="B24" s="281">
        <f t="shared" si="4"/>
        <v>23815844.821999997</v>
      </c>
      <c r="C24" s="281">
        <f t="shared" si="4"/>
        <v>25502246.550000001</v>
      </c>
      <c r="D24" s="281">
        <f>+D10*D$20</f>
        <v>26164005.178199992</v>
      </c>
      <c r="E24" s="281">
        <f>+E10*E$20</f>
        <v>26900459.959499996</v>
      </c>
      <c r="F24" s="281">
        <f t="shared" si="4"/>
        <v>32160419.785344828</v>
      </c>
      <c r="H24" s="281">
        <f t="shared" si="5"/>
        <v>0</v>
      </c>
      <c r="I24" s="281">
        <f t="shared" si="5"/>
        <v>0</v>
      </c>
      <c r="J24" s="281">
        <f t="shared" si="5"/>
        <v>0</v>
      </c>
      <c r="K24" s="281">
        <f t="shared" si="5"/>
        <v>275059.95949999616</v>
      </c>
      <c r="L24" s="281">
        <f t="shared" si="5"/>
        <v>517622.85047892481</v>
      </c>
      <c r="N24" s="279" t="s">
        <v>215</v>
      </c>
      <c r="O24" s="281">
        <v>23815844.821999997</v>
      </c>
      <c r="P24" s="281">
        <v>25502246.550000001</v>
      </c>
      <c r="Q24" s="281">
        <v>26164005.178199992</v>
      </c>
      <c r="R24" s="281">
        <v>26625400</v>
      </c>
      <c r="S24" s="281">
        <v>31642796.934865903</v>
      </c>
    </row>
    <row r="25" spans="1:19" ht="15.95" customHeight="1" x14ac:dyDescent="0.2">
      <c r="A25" s="284" t="s">
        <v>216</v>
      </c>
      <c r="B25" s="281">
        <f t="shared" si="4"/>
        <v>9535848.4120000005</v>
      </c>
      <c r="C25" s="281">
        <f t="shared" si="4"/>
        <v>11256917.166000001</v>
      </c>
      <c r="D25" s="281">
        <f t="shared" si="4"/>
        <v>11672894.3397</v>
      </c>
      <c r="E25" s="281">
        <f t="shared" si="4"/>
        <v>11451138.172999997</v>
      </c>
      <c r="F25" s="281">
        <f t="shared" si="4"/>
        <v>13558052.666091951</v>
      </c>
      <c r="H25" s="281">
        <f t="shared" si="5"/>
        <v>0</v>
      </c>
      <c r="I25" s="281">
        <f t="shared" si="5"/>
        <v>0</v>
      </c>
      <c r="J25" s="281">
        <f t="shared" si="5"/>
        <v>0</v>
      </c>
      <c r="K25" s="281">
        <f t="shared" si="5"/>
        <v>-451981.82700000331</v>
      </c>
      <c r="L25" s="281">
        <f t="shared" si="5"/>
        <v>-588138.90478927642</v>
      </c>
      <c r="N25" s="279" t="s">
        <v>217</v>
      </c>
      <c r="O25" s="281">
        <v>9535848.4120000005</v>
      </c>
      <c r="P25" s="281">
        <v>11256917.166000001</v>
      </c>
      <c r="Q25" s="281">
        <v>11672894.3397</v>
      </c>
      <c r="R25" s="281">
        <v>11903120</v>
      </c>
      <c r="S25" s="281">
        <v>14146191.570881227</v>
      </c>
    </row>
    <row r="26" spans="1:19" ht="15.95" customHeight="1" x14ac:dyDescent="0.2">
      <c r="A26" s="279" t="s">
        <v>218</v>
      </c>
      <c r="B26" s="281">
        <f t="shared" si="4"/>
        <v>37755912.079999998</v>
      </c>
      <c r="C26" s="281">
        <f t="shared" si="4"/>
        <v>39596954.166000001</v>
      </c>
      <c r="D26" s="281">
        <f t="shared" si="4"/>
        <v>41476565.477299996</v>
      </c>
      <c r="E26" s="281">
        <f t="shared" si="4"/>
        <v>42183927.430799983</v>
      </c>
      <c r="F26" s="281">
        <f t="shared" si="4"/>
        <v>49169174.870344818</v>
      </c>
      <c r="H26" s="281">
        <f t="shared" si="5"/>
        <v>0</v>
      </c>
      <c r="I26" s="281">
        <f t="shared" si="5"/>
        <v>0</v>
      </c>
      <c r="J26" s="281">
        <f t="shared" si="5"/>
        <v>0</v>
      </c>
      <c r="K26" s="281">
        <f t="shared" si="5"/>
        <v>-166120.56920001656</v>
      </c>
      <c r="L26" s="281">
        <f t="shared" si="5"/>
        <v>-1161485.6660536528</v>
      </c>
      <c r="N26" s="279" t="s">
        <v>219</v>
      </c>
      <c r="O26" s="281">
        <v>37755912.079999998</v>
      </c>
      <c r="P26" s="281">
        <v>39596954.166000001</v>
      </c>
      <c r="Q26" s="281">
        <v>41476565.477299996</v>
      </c>
      <c r="R26" s="281">
        <v>42350048</v>
      </c>
      <c r="S26" s="281">
        <v>50330660.53639847</v>
      </c>
    </row>
    <row r="27" spans="1:19" ht="15.95" customHeight="1" x14ac:dyDescent="0.2">
      <c r="A27" s="279" t="s">
        <v>220</v>
      </c>
      <c r="B27" s="281">
        <f t="shared" si="4"/>
        <v>1351977.57</v>
      </c>
      <c r="C27" s="281">
        <f t="shared" si="4"/>
        <v>1653900.93</v>
      </c>
      <c r="D27" s="281">
        <f t="shared" si="4"/>
        <v>1884887.1256000008</v>
      </c>
      <c r="E27" s="281">
        <f t="shared" si="4"/>
        <v>2107348.7253999999</v>
      </c>
      <c r="F27" s="281">
        <f t="shared" si="4"/>
        <v>2495083.4208045979</v>
      </c>
      <c r="H27" s="281">
        <f t="shared" si="5"/>
        <v>0</v>
      </c>
      <c r="I27" s="281">
        <f t="shared" si="5"/>
        <v>0</v>
      </c>
      <c r="J27" s="281">
        <f t="shared" si="5"/>
        <v>0</v>
      </c>
      <c r="K27" s="281">
        <f t="shared" si="5"/>
        <v>195018.52539999993</v>
      </c>
      <c r="L27" s="281">
        <f t="shared" si="5"/>
        <v>222386.06448275922</v>
      </c>
      <c r="N27" s="279" t="s">
        <v>220</v>
      </c>
      <c r="O27" s="281">
        <v>1351977.57</v>
      </c>
      <c r="P27" s="281">
        <v>1653900.93</v>
      </c>
      <c r="Q27" s="281">
        <v>1884887.1256000008</v>
      </c>
      <c r="R27" s="281">
        <v>1912330.2</v>
      </c>
      <c r="S27" s="281">
        <v>2272697.3563218387</v>
      </c>
    </row>
    <row r="28" spans="1:19" ht="15.95" customHeight="1" x14ac:dyDescent="0.2">
      <c r="A28" s="285" t="s">
        <v>221</v>
      </c>
      <c r="B28" s="277">
        <f t="shared" ref="B28:F28" si="6">SUM(B23:B27)</f>
        <v>92969799.143999994</v>
      </c>
      <c r="C28" s="277">
        <f t="shared" si="6"/>
        <v>99757142.298000008</v>
      </c>
      <c r="D28" s="287">
        <f t="shared" si="6"/>
        <v>103334760.55659997</v>
      </c>
      <c r="E28" s="277">
        <f t="shared" si="6"/>
        <v>105162715.60545999</v>
      </c>
      <c r="F28" s="276">
        <f t="shared" si="6"/>
        <v>124511783.47056322</v>
      </c>
      <c r="H28" s="293">
        <f t="shared" si="5"/>
        <v>0</v>
      </c>
      <c r="I28" s="293">
        <f t="shared" si="5"/>
        <v>0</v>
      </c>
      <c r="J28" s="293">
        <f t="shared" si="5"/>
        <v>0</v>
      </c>
      <c r="K28" s="276">
        <f t="shared" si="5"/>
        <v>-170679.30754001439</v>
      </c>
      <c r="L28" s="276">
        <f t="shared" si="5"/>
        <v>-671057.93997319043</v>
      </c>
      <c r="N28" s="285" t="s">
        <v>221</v>
      </c>
      <c r="O28" s="276">
        <v>92969799.143999994</v>
      </c>
      <c r="P28" s="276">
        <v>99757142.298000008</v>
      </c>
      <c r="Q28" s="277">
        <v>103334760.55659997</v>
      </c>
      <c r="R28" s="277">
        <v>105333394.913</v>
      </c>
      <c r="S28" s="276">
        <v>125182841.41053641</v>
      </c>
    </row>
    <row r="29" spans="1:19" ht="15.95" customHeight="1" x14ac:dyDescent="0.2">
      <c r="A29" s="279" t="s">
        <v>222</v>
      </c>
      <c r="B29" s="281">
        <f t="shared" ref="B29:F30" si="7">+B15*B$20</f>
        <v>4895221.0820000004</v>
      </c>
      <c r="C29" s="281">
        <f t="shared" si="7"/>
        <v>5331713.7060000002</v>
      </c>
      <c r="D29" s="281">
        <f t="shared" si="7"/>
        <v>5912155.7201999994</v>
      </c>
      <c r="E29" s="281">
        <f t="shared" si="7"/>
        <v>6050579.8626000006</v>
      </c>
      <c r="F29" s="281">
        <f t="shared" si="7"/>
        <v>7163836.3975862078</v>
      </c>
      <c r="H29" s="281">
        <f t="shared" si="5"/>
        <v>0</v>
      </c>
      <c r="I29" s="281">
        <f t="shared" si="5"/>
        <v>0</v>
      </c>
      <c r="J29" s="281">
        <f t="shared" si="5"/>
        <v>0</v>
      </c>
      <c r="K29" s="281">
        <f t="shared" si="5"/>
        <v>5047.8626000005752</v>
      </c>
      <c r="L29" s="281">
        <f t="shared" si="5"/>
        <v>-20939.847624520771</v>
      </c>
      <c r="N29" s="279" t="s">
        <v>222</v>
      </c>
      <c r="O29" s="281">
        <v>4895221.0820000004</v>
      </c>
      <c r="P29" s="281">
        <v>5331713.7060000002</v>
      </c>
      <c r="Q29" s="281">
        <v>5912155.7201999994</v>
      </c>
      <c r="R29" s="281">
        <v>6045532</v>
      </c>
      <c r="S29" s="281">
        <v>7184776.2452107286</v>
      </c>
    </row>
    <row r="30" spans="1:19" ht="15.95" customHeight="1" x14ac:dyDescent="0.2">
      <c r="A30" s="279" t="s">
        <v>223</v>
      </c>
      <c r="B30" s="281">
        <f t="shared" si="7"/>
        <v>2653548.4020000002</v>
      </c>
      <c r="C30" s="281">
        <f t="shared" si="7"/>
        <v>3092441.8140000007</v>
      </c>
      <c r="D30" s="281">
        <f t="shared" si="7"/>
        <v>3521828.5466000023</v>
      </c>
      <c r="E30" s="281">
        <f t="shared" si="7"/>
        <v>3870697.2828000034</v>
      </c>
      <c r="F30" s="281">
        <f t="shared" si="7"/>
        <v>4582873.4944827622</v>
      </c>
      <c r="H30" s="281">
        <f t="shared" si="5"/>
        <v>0</v>
      </c>
      <c r="I30" s="281">
        <f t="shared" si="5"/>
        <v>0</v>
      </c>
      <c r="J30" s="281">
        <f t="shared" si="5"/>
        <v>0</v>
      </c>
      <c r="K30" s="281">
        <f t="shared" si="5"/>
        <v>268437.28280000342</v>
      </c>
      <c r="L30" s="281">
        <f t="shared" si="5"/>
        <v>301789.20329502318</v>
      </c>
      <c r="N30" s="279" t="s">
        <v>223</v>
      </c>
      <c r="O30" s="281">
        <v>2653548.4020000002</v>
      </c>
      <c r="P30" s="281">
        <v>3092441.8140000007</v>
      </c>
      <c r="Q30" s="281">
        <v>3521828.5466000023</v>
      </c>
      <c r="R30" s="281">
        <v>3602260</v>
      </c>
      <c r="S30" s="281">
        <v>4281084.291187739</v>
      </c>
    </row>
    <row r="31" spans="1:19" ht="15.95" customHeight="1" x14ac:dyDescent="0.2">
      <c r="A31" s="285" t="s">
        <v>230</v>
      </c>
      <c r="B31" s="277">
        <f t="shared" ref="B31:F31" si="8">B28+B29+B30</f>
        <v>100518568.62799999</v>
      </c>
      <c r="C31" s="277">
        <f t="shared" si="8"/>
        <v>108181297.818</v>
      </c>
      <c r="D31" s="287">
        <f t="shared" si="8"/>
        <v>112768744.82339998</v>
      </c>
      <c r="E31" s="277">
        <f t="shared" si="8"/>
        <v>115083992.75085999</v>
      </c>
      <c r="F31" s="276">
        <f t="shared" si="8"/>
        <v>136258493.36263219</v>
      </c>
      <c r="H31" s="293">
        <f t="shared" si="5"/>
        <v>0</v>
      </c>
      <c r="I31" s="293">
        <f t="shared" si="5"/>
        <v>0</v>
      </c>
      <c r="J31" s="293">
        <f t="shared" si="5"/>
        <v>0</v>
      </c>
      <c r="K31" s="276">
        <f t="shared" si="5"/>
        <v>102805.83785998821</v>
      </c>
      <c r="L31" s="276">
        <f t="shared" si="5"/>
        <v>-390208.58430269361</v>
      </c>
      <c r="N31" s="285" t="s">
        <v>231</v>
      </c>
      <c r="O31" s="276">
        <v>100518568.62799999</v>
      </c>
      <c r="P31" s="277">
        <v>108181297.818</v>
      </c>
      <c r="Q31" s="277">
        <v>112768744.82339998</v>
      </c>
      <c r="R31" s="277">
        <v>114981186.913</v>
      </c>
      <c r="S31" s="276">
        <v>136648701.94693488</v>
      </c>
    </row>
    <row r="32" spans="1:19" ht="15.95" customHeight="1" x14ac:dyDescent="0.2">
      <c r="A32" s="279" t="s">
        <v>232</v>
      </c>
      <c r="B32" s="281">
        <f t="shared" ref="B32:F32" si="9">+B18*B$20</f>
        <v>276751.52999999997</v>
      </c>
      <c r="C32" s="281">
        <f t="shared" si="9"/>
        <v>336389.1201</v>
      </c>
      <c r="D32" s="281">
        <f t="shared" si="9"/>
        <v>420123.16059999936</v>
      </c>
      <c r="E32" s="281">
        <f t="shared" si="9"/>
        <v>409542.50560000003</v>
      </c>
      <c r="F32" s="281">
        <f t="shared" si="9"/>
        <v>486759.91200000001</v>
      </c>
      <c r="H32" s="281">
        <f t="shared" si="5"/>
        <v>0</v>
      </c>
      <c r="I32" s="281">
        <f t="shared" si="5"/>
        <v>0</v>
      </c>
      <c r="J32" s="281">
        <f t="shared" si="5"/>
        <v>0</v>
      </c>
      <c r="K32" s="281">
        <f t="shared" si="5"/>
        <v>0</v>
      </c>
      <c r="L32" s="281">
        <f t="shared" si="5"/>
        <v>-1830.4159999999683</v>
      </c>
      <c r="N32" s="279" t="s">
        <v>233</v>
      </c>
      <c r="O32" s="281">
        <v>276751.52999999997</v>
      </c>
      <c r="P32" s="281">
        <v>336389.1201</v>
      </c>
      <c r="Q32" s="281">
        <v>420123.16059999936</v>
      </c>
      <c r="R32" s="281">
        <v>409542.50560000003</v>
      </c>
      <c r="S32" s="281">
        <v>488590.32799999998</v>
      </c>
    </row>
    <row r="33" spans="1:19" ht="15.95" customHeight="1" x14ac:dyDescent="0.2">
      <c r="A33" s="296" t="s">
        <v>234</v>
      </c>
      <c r="B33" s="297">
        <f>SUM(B31:B32)</f>
        <v>100795320.15799999</v>
      </c>
      <c r="C33" s="297">
        <f>SUM(C31:C32)</f>
        <v>108517686.93810001</v>
      </c>
      <c r="D33" s="297">
        <f>SUM(D31:D32)</f>
        <v>113188867.98399998</v>
      </c>
      <c r="E33" s="297">
        <f t="shared" ref="E33:F33" si="10">SUM(E31:E32)</f>
        <v>115493535.25646</v>
      </c>
      <c r="F33" s="297">
        <f t="shared" si="10"/>
        <v>136745253.27463219</v>
      </c>
      <c r="G33" s="298"/>
      <c r="H33" s="297">
        <f t="shared" si="5"/>
        <v>0</v>
      </c>
      <c r="I33" s="297">
        <f t="shared" si="5"/>
        <v>0</v>
      </c>
      <c r="J33" s="297">
        <f t="shared" si="5"/>
        <v>0</v>
      </c>
      <c r="K33" s="297">
        <f t="shared" si="5"/>
        <v>102805.83785998821</v>
      </c>
      <c r="L33" s="297">
        <f t="shared" si="5"/>
        <v>-392039.00030270219</v>
      </c>
      <c r="M33" s="298"/>
      <c r="N33" s="296" t="s">
        <v>235</v>
      </c>
      <c r="O33" s="297">
        <v>100795320.15799999</v>
      </c>
      <c r="P33" s="297">
        <v>108517686.93810001</v>
      </c>
      <c r="Q33" s="297">
        <v>113188867.98399998</v>
      </c>
      <c r="R33" s="297">
        <v>115390729.41860001</v>
      </c>
      <c r="S33" s="297">
        <v>137137292.27493489</v>
      </c>
    </row>
    <row r="34" spans="1:19" ht="15.95" customHeight="1" x14ac:dyDescent="0.2"/>
    <row r="1048576" spans="8:8" ht="15" customHeight="1" x14ac:dyDescent="0.2">
      <c r="H1048576" s="299"/>
    </row>
  </sheetData>
  <mergeCells count="5">
    <mergeCell ref="H3:L4"/>
    <mergeCell ref="N3:S4"/>
    <mergeCell ref="B5:D5"/>
    <mergeCell ref="H5:J5"/>
    <mergeCell ref="O5:Q5"/>
  </mergeCells>
  <pageMargins left="1" right="0.75" top="0.75" bottom="0.5" header="0.5" footer="0.5"/>
  <pageSetup scale="95" orientation="landscape" r:id="rId1"/>
  <headerFooter>
    <oddFooter>&amp;L&amp;KFF0000Final Rate Application&amp;CPage &amp;P of &amp;N&amp;R02/10/2017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8"/>
  <sheetViews>
    <sheetView zoomScaleNormal="100" workbookViewId="0"/>
  </sheetViews>
  <sheetFormatPr defaultRowHeight="12.75" x14ac:dyDescent="0.2"/>
  <cols>
    <col min="1" max="1" width="64" style="12" bestFit="1" customWidth="1"/>
    <col min="2" max="3" width="19.7109375" style="12" customWidth="1"/>
    <col min="4" max="4" width="2.85546875" style="12" customWidth="1"/>
    <col min="5" max="6" width="16.85546875" style="12" customWidth="1"/>
    <col min="7" max="7" width="2.42578125" style="12" customWidth="1"/>
    <col min="8" max="8" width="64" style="12" bestFit="1" customWidth="1"/>
    <col min="9" max="10" width="17.42578125" style="12" customWidth="1"/>
    <col min="11" max="16384" width="9.140625" style="12"/>
  </cols>
  <sheetData>
    <row r="1" spans="1:10" x14ac:dyDescent="0.2">
      <c r="A1" s="112" t="str">
        <f>B!$A$2</f>
        <v>Recology San Francisco</v>
      </c>
    </row>
    <row r="2" spans="1:10" x14ac:dyDescent="0.2">
      <c r="A2" s="300" t="s">
        <v>236</v>
      </c>
    </row>
    <row r="3" spans="1:10" ht="12.75" customHeight="1" x14ac:dyDescent="0.2">
      <c r="A3" s="265" t="s">
        <v>16</v>
      </c>
      <c r="E3" s="1530" t="s">
        <v>237</v>
      </c>
      <c r="F3" s="1524"/>
      <c r="G3" s="260"/>
      <c r="H3" s="1497" t="s">
        <v>75</v>
      </c>
      <c r="I3" s="1498"/>
      <c r="J3" s="1499"/>
    </row>
    <row r="4" spans="1:10" ht="12.75" customHeight="1" x14ac:dyDescent="0.2">
      <c r="A4" s="265"/>
      <c r="E4" s="1531"/>
      <c r="F4" s="1528"/>
      <c r="G4" s="260"/>
      <c r="H4" s="1529"/>
      <c r="I4" s="1502"/>
      <c r="J4" s="1503"/>
    </row>
    <row r="5" spans="1:10" ht="22.5" customHeight="1" x14ac:dyDescent="0.2">
      <c r="B5" s="301" t="s">
        <v>208</v>
      </c>
      <c r="C5" s="19" t="s">
        <v>209</v>
      </c>
      <c r="E5" s="301" t="s">
        <v>208</v>
      </c>
      <c r="F5" s="19" t="s">
        <v>209</v>
      </c>
      <c r="G5" s="260"/>
      <c r="H5" s="268"/>
      <c r="I5" s="301" t="s">
        <v>208</v>
      </c>
      <c r="J5" s="19" t="s">
        <v>209</v>
      </c>
    </row>
    <row r="6" spans="1:10" ht="19.5" customHeight="1" x14ac:dyDescent="0.2">
      <c r="A6" s="302" t="s">
        <v>238</v>
      </c>
      <c r="B6" s="303" t="s">
        <v>99</v>
      </c>
      <c r="C6" s="304" t="s">
        <v>69</v>
      </c>
      <c r="E6" s="305" t="s">
        <v>99</v>
      </c>
      <c r="F6" s="304" t="s">
        <v>69</v>
      </c>
      <c r="G6" s="269"/>
      <c r="H6" s="302" t="s">
        <v>238</v>
      </c>
      <c r="I6" s="305" t="s">
        <v>99</v>
      </c>
      <c r="J6" s="304" t="s">
        <v>69</v>
      </c>
    </row>
    <row r="7" spans="1:10" x14ac:dyDescent="0.2">
      <c r="A7" s="306"/>
      <c r="B7" s="307" t="s">
        <v>239</v>
      </c>
      <c r="C7" s="308" t="s">
        <v>239</v>
      </c>
      <c r="E7" s="308"/>
      <c r="F7" s="308"/>
      <c r="H7" s="306"/>
      <c r="I7" s="307" t="s">
        <v>239</v>
      </c>
      <c r="J7" s="308" t="s">
        <v>239</v>
      </c>
    </row>
    <row r="8" spans="1:10" ht="15" customHeight="1" x14ac:dyDescent="0.2">
      <c r="A8" s="309" t="s">
        <v>240</v>
      </c>
      <c r="B8" s="310">
        <v>9331773.6000000015</v>
      </c>
      <c r="C8" s="310">
        <v>11210880</v>
      </c>
      <c r="E8" s="97">
        <f>IFERROR(B8-I8,"")</f>
        <v>0</v>
      </c>
      <c r="F8" s="97">
        <f>IFERROR(C8-J8,"")</f>
        <v>0</v>
      </c>
      <c r="H8" s="311" t="s">
        <v>241</v>
      </c>
      <c r="I8" s="98">
        <v>9331773.6000000015</v>
      </c>
      <c r="J8" s="97">
        <v>11210880</v>
      </c>
    </row>
    <row r="9" spans="1:10" x14ac:dyDescent="0.2">
      <c r="A9" s="309" t="s">
        <v>241</v>
      </c>
      <c r="B9" s="144">
        <v>6002390.4000000004</v>
      </c>
      <c r="C9" s="144">
        <v>8491940</v>
      </c>
      <c r="E9" s="144">
        <f>IFERROR(B9-I9,"")</f>
        <v>0</v>
      </c>
      <c r="F9" s="144">
        <f>IFERROR(C9-J9,"")</f>
        <v>0</v>
      </c>
      <c r="H9" s="311" t="s">
        <v>242</v>
      </c>
      <c r="I9" s="95">
        <v>6002390.4000000004</v>
      </c>
      <c r="J9" s="144">
        <v>8491940</v>
      </c>
    </row>
    <row r="10" spans="1:10" ht="5.0999999999999996" customHeight="1" x14ac:dyDescent="0.2">
      <c r="A10" s="312"/>
      <c r="B10" s="313"/>
      <c r="C10" s="313"/>
      <c r="E10" s="313"/>
      <c r="F10" s="313"/>
      <c r="H10" s="314"/>
      <c r="I10" s="313"/>
      <c r="J10" s="313"/>
    </row>
    <row r="11" spans="1:10" x14ac:dyDescent="0.2">
      <c r="A11" s="315" t="s">
        <v>243</v>
      </c>
      <c r="B11" s="316">
        <f>SUM(B8:B10)</f>
        <v>15334164.000000002</v>
      </c>
      <c r="C11" s="316">
        <f>SUM(C8:C10)</f>
        <v>19702820</v>
      </c>
      <c r="E11" s="316">
        <f>IFERROR(B11-I11,"")</f>
        <v>0</v>
      </c>
      <c r="F11" s="316">
        <f>IFERROR(C11-J11,"")</f>
        <v>0</v>
      </c>
      <c r="H11" s="317" t="s">
        <v>243</v>
      </c>
      <c r="I11" s="316">
        <v>15334164.000000002</v>
      </c>
      <c r="J11" s="316">
        <v>19702820</v>
      </c>
    </row>
    <row r="12" spans="1:10" x14ac:dyDescent="0.2">
      <c r="A12" s="318"/>
      <c r="B12" s="59"/>
      <c r="C12" s="59"/>
      <c r="E12" s="154"/>
      <c r="F12" s="154"/>
      <c r="H12" s="319"/>
      <c r="I12" s="154"/>
      <c r="J12" s="154"/>
    </row>
    <row r="13" spans="1:10" x14ac:dyDescent="0.2">
      <c r="A13" s="320" t="s">
        <v>244</v>
      </c>
      <c r="B13" s="321"/>
      <c r="C13" s="321"/>
      <c r="E13" s="322"/>
      <c r="F13" s="322"/>
      <c r="H13" s="320" t="s">
        <v>245</v>
      </c>
      <c r="I13" s="323"/>
      <c r="J13" s="324"/>
    </row>
    <row r="14" spans="1:10" x14ac:dyDescent="0.2">
      <c r="A14" s="325" t="s">
        <v>246</v>
      </c>
      <c r="B14" s="97">
        <v>187186.4</v>
      </c>
      <c r="C14" s="326">
        <f>+B19</f>
        <v>188288.3599999985</v>
      </c>
      <c r="E14" s="44">
        <f t="shared" ref="E14:F25" si="0">IFERROR(B14-I14,"")</f>
        <v>0</v>
      </c>
      <c r="F14" s="44">
        <f t="shared" si="0"/>
        <v>0</v>
      </c>
      <c r="H14" s="327" t="s">
        <v>246</v>
      </c>
      <c r="I14" s="328">
        <v>187186.4</v>
      </c>
      <c r="J14" s="326">
        <v>188288.3599999985</v>
      </c>
    </row>
    <row r="15" spans="1:10" x14ac:dyDescent="0.2">
      <c r="A15" s="329" t="s">
        <v>247</v>
      </c>
      <c r="B15" s="144">
        <f>-B11</f>
        <v>-15334164.000000002</v>
      </c>
      <c r="C15" s="144">
        <f>+-C11</f>
        <v>-19702820</v>
      </c>
      <c r="E15" s="144">
        <f t="shared" si="0"/>
        <v>0</v>
      </c>
      <c r="F15" s="144">
        <f t="shared" si="0"/>
        <v>0</v>
      </c>
      <c r="H15" s="330" t="s">
        <v>247</v>
      </c>
      <c r="I15" s="146">
        <v>-15334164.000000002</v>
      </c>
      <c r="J15" s="144">
        <v>-19702820</v>
      </c>
    </row>
    <row r="16" spans="1:10" x14ac:dyDescent="0.2">
      <c r="A16" s="325" t="s">
        <v>248</v>
      </c>
      <c r="B16" s="144">
        <v>15334164</v>
      </c>
      <c r="C16" s="144">
        <f>+C11</f>
        <v>19702820</v>
      </c>
      <c r="E16" s="144">
        <f t="shared" si="0"/>
        <v>0</v>
      </c>
      <c r="F16" s="144">
        <f t="shared" si="0"/>
        <v>0</v>
      </c>
      <c r="H16" s="327" t="s">
        <v>248</v>
      </c>
      <c r="I16" s="146">
        <v>15334164</v>
      </c>
      <c r="J16" s="144">
        <v>19702820</v>
      </c>
    </row>
    <row r="17" spans="1:10" x14ac:dyDescent="0.2">
      <c r="A17" s="331" t="s">
        <v>249</v>
      </c>
      <c r="B17" s="142">
        <f>91.83*12</f>
        <v>1101.96</v>
      </c>
      <c r="C17" s="142">
        <v>1108.45</v>
      </c>
      <c r="E17" s="142">
        <f t="shared" si="0"/>
        <v>0</v>
      </c>
      <c r="F17" s="142">
        <f t="shared" si="0"/>
        <v>0</v>
      </c>
      <c r="H17" s="332" t="s">
        <v>249</v>
      </c>
      <c r="I17" s="333">
        <v>1101.96</v>
      </c>
      <c r="J17" s="142">
        <v>1108.45</v>
      </c>
    </row>
    <row r="18" spans="1:10" ht="5.0999999999999996" customHeight="1" x14ac:dyDescent="0.2">
      <c r="A18" s="312"/>
      <c r="B18" s="313"/>
      <c r="C18" s="313"/>
      <c r="E18" s="313"/>
      <c r="F18" s="313"/>
      <c r="H18" s="314"/>
      <c r="I18" s="259"/>
      <c r="J18" s="313"/>
    </row>
    <row r="19" spans="1:10" ht="12.95" customHeight="1" x14ac:dyDescent="0.2">
      <c r="A19" s="315" t="s">
        <v>250</v>
      </c>
      <c r="B19" s="316">
        <f>SUM(B14:B17)</f>
        <v>188288.3599999985</v>
      </c>
      <c r="C19" s="316">
        <f>SUM(C14:C17)</f>
        <v>189396.80999999942</v>
      </c>
      <c r="E19" s="316">
        <f t="shared" si="0"/>
        <v>0</v>
      </c>
      <c r="F19" s="316">
        <f t="shared" si="0"/>
        <v>0</v>
      </c>
      <c r="H19" s="317" t="s">
        <v>250</v>
      </c>
      <c r="I19" s="334">
        <v>188288.3599999985</v>
      </c>
      <c r="J19" s="316">
        <v>189396.80999999942</v>
      </c>
    </row>
    <row r="20" spans="1:10" x14ac:dyDescent="0.2">
      <c r="A20" s="325"/>
      <c r="B20" s="327"/>
      <c r="C20" s="327"/>
    </row>
    <row r="21" spans="1:10" ht="16.5" customHeight="1" x14ac:dyDescent="0.2">
      <c r="A21" s="335" t="s">
        <v>251</v>
      </c>
      <c r="B21" s="321"/>
      <c r="C21" s="321"/>
      <c r="E21" s="322"/>
      <c r="F21" s="322"/>
      <c r="H21" s="335" t="s">
        <v>251</v>
      </c>
      <c r="I21" s="323"/>
      <c r="J21" s="324"/>
    </row>
    <row r="22" spans="1:10" ht="12.75" customHeight="1" x14ac:dyDescent="0.2">
      <c r="A22" s="325" t="s">
        <v>0</v>
      </c>
      <c r="B22" s="336">
        <v>0</v>
      </c>
      <c r="C22" s="337">
        <v>0</v>
      </c>
      <c r="E22" s="338">
        <f t="shared" si="0"/>
        <v>0</v>
      </c>
      <c r="F22" s="338">
        <f t="shared" si="0"/>
        <v>0</v>
      </c>
      <c r="H22" s="327" t="s">
        <v>0</v>
      </c>
      <c r="I22" s="339">
        <v>0</v>
      </c>
      <c r="J22" s="337">
        <v>0</v>
      </c>
    </row>
    <row r="23" spans="1:10" ht="12.75" customHeight="1" x14ac:dyDescent="0.2">
      <c r="A23" s="340" t="s">
        <v>252</v>
      </c>
      <c r="B23" s="341">
        <f>+B11</f>
        <v>15334164.000000002</v>
      </c>
      <c r="C23" s="341">
        <f>+C11</f>
        <v>19702820</v>
      </c>
      <c r="E23" s="341">
        <f t="shared" si="0"/>
        <v>0</v>
      </c>
      <c r="F23" s="341">
        <f t="shared" si="0"/>
        <v>0</v>
      </c>
      <c r="H23" s="342" t="s">
        <v>253</v>
      </c>
      <c r="I23" s="343">
        <v>15334164.000000002</v>
      </c>
      <c r="J23" s="341">
        <v>19702820</v>
      </c>
    </row>
    <row r="24" spans="1:10" ht="5.0999999999999996" customHeight="1" x14ac:dyDescent="0.2">
      <c r="A24" s="344"/>
      <c r="B24" s="313"/>
      <c r="C24" s="313"/>
      <c r="E24" s="313"/>
      <c r="F24" s="313"/>
      <c r="H24" s="345"/>
      <c r="I24" s="259"/>
      <c r="J24" s="313"/>
    </row>
    <row r="25" spans="1:10" ht="12.95" customHeight="1" x14ac:dyDescent="0.2">
      <c r="A25" s="346" t="s">
        <v>254</v>
      </c>
      <c r="B25" s="316">
        <f>SUM(B22:B24)</f>
        <v>15334164.000000002</v>
      </c>
      <c r="C25" s="316">
        <f>SUM(C22:C24)</f>
        <v>19702820</v>
      </c>
      <c r="E25" s="316">
        <f t="shared" si="0"/>
        <v>0</v>
      </c>
      <c r="F25" s="316">
        <f t="shared" si="0"/>
        <v>0</v>
      </c>
      <c r="H25" s="347" t="s">
        <v>254</v>
      </c>
      <c r="I25" s="334">
        <v>15334164.000000002</v>
      </c>
      <c r="J25" s="316">
        <v>19702820</v>
      </c>
    </row>
    <row r="28" spans="1:10" x14ac:dyDescent="0.2">
      <c r="C28" s="348"/>
    </row>
  </sheetData>
  <mergeCells count="2">
    <mergeCell ref="E3:F4"/>
    <mergeCell ref="H3:J4"/>
  </mergeCells>
  <pageMargins left="1" right="0.75" top="0.75" bottom="0.5" header="0.5" footer="0.5"/>
  <pageSetup orientation="landscape" r:id="rId1"/>
  <headerFooter>
    <oddFooter>&amp;L&amp;KFF0000Final Rate Application&amp;CPage &amp;P of &amp;N&amp;R02/10/2017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howOutlineSymbols="0"/>
  </sheetPr>
  <dimension ref="A1:R88"/>
  <sheetViews>
    <sheetView showOutlineSymbols="0" zoomScaleNormal="100" zoomScaleSheetLayoutView="115" workbookViewId="0">
      <pane xSplit="1" ySplit="6" topLeftCell="B7" activePane="bottomRight" state="frozen"/>
      <selection sqref="A1:B1"/>
      <selection pane="topRight" sqref="A1:B1"/>
      <selection pane="bottomLeft" sqref="A1:B1"/>
      <selection pane="bottomRight" activeCell="B7" sqref="B7"/>
    </sheetView>
  </sheetViews>
  <sheetFormatPr defaultRowHeight="12.75" x14ac:dyDescent="0.2"/>
  <cols>
    <col min="1" max="1" width="36.7109375" style="28" bestFit="1" customWidth="1"/>
    <col min="2" max="6" width="18.5703125" style="28" customWidth="1"/>
    <col min="7" max="7" width="1.85546875" style="28" customWidth="1"/>
    <col min="8" max="10" width="14.140625" style="28" customWidth="1"/>
    <col min="11" max="11" width="14.7109375" style="28" customWidth="1"/>
    <col min="12" max="12" width="17.28515625" style="28" customWidth="1"/>
    <col min="13" max="13" width="2.5703125" style="28" customWidth="1"/>
    <col min="14" max="16" width="13.7109375" style="28" customWidth="1"/>
    <col min="17" max="17" width="12.42578125" style="28" customWidth="1"/>
    <col min="18" max="18" width="16.140625" style="28" bestFit="1" customWidth="1"/>
    <col min="19" max="16384" width="9.140625" style="28"/>
  </cols>
  <sheetData>
    <row r="1" spans="1:18" ht="12.75" customHeight="1" x14ac:dyDescent="0.2">
      <c r="A1" s="112" t="str">
        <f>B!$A$2</f>
        <v>Recology San Francisco</v>
      </c>
    </row>
    <row r="2" spans="1:18" x14ac:dyDescent="0.2">
      <c r="A2" s="300" t="s">
        <v>255</v>
      </c>
    </row>
    <row r="3" spans="1:18" ht="12.75" customHeight="1" x14ac:dyDescent="0.2">
      <c r="A3" s="265" t="s">
        <v>18</v>
      </c>
      <c r="H3" s="1522" t="s">
        <v>74</v>
      </c>
      <c r="I3" s="1523"/>
      <c r="J3" s="1523"/>
      <c r="K3" s="1523"/>
      <c r="L3" s="1524"/>
      <c r="N3" s="1497" t="s">
        <v>75</v>
      </c>
      <c r="O3" s="1498"/>
      <c r="P3" s="1498"/>
      <c r="Q3" s="1498"/>
      <c r="R3" s="1499"/>
    </row>
    <row r="4" spans="1:18" ht="12.75" customHeight="1" x14ac:dyDescent="0.2">
      <c r="A4" s="349"/>
      <c r="C4" s="350"/>
      <c r="D4" s="350"/>
      <c r="H4" s="1525"/>
      <c r="I4" s="1526"/>
      <c r="J4" s="1526"/>
      <c r="K4" s="1527"/>
      <c r="L4" s="1528"/>
      <c r="N4" s="1529"/>
      <c r="O4" s="1502"/>
      <c r="P4" s="1502"/>
      <c r="Q4" s="1502"/>
      <c r="R4" s="1503"/>
    </row>
    <row r="5" spans="1:18" ht="21" customHeight="1" x14ac:dyDescent="0.2">
      <c r="B5" s="1504" t="s">
        <v>207</v>
      </c>
      <c r="C5" s="1505"/>
      <c r="D5" s="1506"/>
      <c r="E5" s="267" t="s">
        <v>208</v>
      </c>
      <c r="F5" s="19" t="s">
        <v>209</v>
      </c>
      <c r="H5" s="1504" t="s">
        <v>207</v>
      </c>
      <c r="I5" s="1505"/>
      <c r="J5" s="1506"/>
      <c r="K5" s="267" t="s">
        <v>208</v>
      </c>
      <c r="L5" s="19" t="s">
        <v>209</v>
      </c>
      <c r="N5" s="1504" t="s">
        <v>207</v>
      </c>
      <c r="O5" s="1505"/>
      <c r="P5" s="1506"/>
      <c r="Q5" s="267" t="s">
        <v>208</v>
      </c>
      <c r="R5" s="19" t="s">
        <v>209</v>
      </c>
    </row>
    <row r="6" spans="1:18" ht="18" customHeight="1" x14ac:dyDescent="0.2">
      <c r="A6" s="351" t="s">
        <v>256</v>
      </c>
      <c r="B6" s="271" t="s">
        <v>102</v>
      </c>
      <c r="C6" s="271" t="s">
        <v>103</v>
      </c>
      <c r="D6" s="271" t="s">
        <v>104</v>
      </c>
      <c r="E6" s="267" t="s">
        <v>99</v>
      </c>
      <c r="F6" s="19" t="s">
        <v>69</v>
      </c>
      <c r="H6" s="271" t="s">
        <v>102</v>
      </c>
      <c r="I6" s="271" t="s">
        <v>103</v>
      </c>
      <c r="J6" s="271" t="s">
        <v>104</v>
      </c>
      <c r="K6" s="267" t="s">
        <v>99</v>
      </c>
      <c r="L6" s="19" t="s">
        <v>69</v>
      </c>
      <c r="N6" s="271" t="s">
        <v>102</v>
      </c>
      <c r="O6" s="271" t="s">
        <v>103</v>
      </c>
      <c r="P6" s="271" t="s">
        <v>104</v>
      </c>
      <c r="Q6" s="267" t="s">
        <v>99</v>
      </c>
      <c r="R6" s="19" t="s">
        <v>69</v>
      </c>
    </row>
    <row r="7" spans="1:18" ht="18" customHeight="1" x14ac:dyDescent="0.2">
      <c r="A7" s="352" t="s">
        <v>257</v>
      </c>
      <c r="B7" s="353"/>
      <c r="C7" s="353"/>
      <c r="D7" s="353"/>
      <c r="E7" s="354"/>
      <c r="F7" s="354"/>
      <c r="H7" s="353"/>
      <c r="I7" s="353"/>
      <c r="J7" s="353"/>
      <c r="K7" s="354"/>
      <c r="L7" s="354"/>
      <c r="N7" s="353"/>
      <c r="O7" s="353"/>
      <c r="P7" s="353"/>
      <c r="Q7" s="354"/>
      <c r="R7" s="354"/>
    </row>
    <row r="8" spans="1:18" ht="15" customHeight="1" x14ac:dyDescent="0.2">
      <c r="A8" s="355" t="s">
        <v>258</v>
      </c>
      <c r="B8" s="356">
        <v>67600.36</v>
      </c>
      <c r="C8" s="356">
        <v>68585</v>
      </c>
      <c r="D8" s="356">
        <v>73687.040000000008</v>
      </c>
      <c r="E8" s="356">
        <v>74900</v>
      </c>
      <c r="F8" s="357">
        <v>76350</v>
      </c>
      <c r="H8" s="356">
        <f>IFERROR(B8-N8,"")</f>
        <v>0</v>
      </c>
      <c r="I8" s="356">
        <f>IFERROR(C8-O8,"")</f>
        <v>0</v>
      </c>
      <c r="J8" s="356">
        <f>IFERROR(D8-P8,"")</f>
        <v>0</v>
      </c>
      <c r="K8" s="356">
        <f>IFERROR(E8-Q8,"")</f>
        <v>0</v>
      </c>
      <c r="L8" s="357">
        <f>IFERROR(F8-R8,"")</f>
        <v>0</v>
      </c>
      <c r="N8" s="356">
        <v>67600.36</v>
      </c>
      <c r="O8" s="356">
        <v>68585</v>
      </c>
      <c r="P8" s="356">
        <v>73687.040000000008</v>
      </c>
      <c r="Q8" s="356">
        <v>74900</v>
      </c>
      <c r="R8" s="357">
        <v>76350</v>
      </c>
    </row>
    <row r="9" spans="1:18" x14ac:dyDescent="0.2">
      <c r="A9" s="355" t="s">
        <v>259</v>
      </c>
      <c r="B9" s="356">
        <v>36888.839999999997</v>
      </c>
      <c r="C9" s="356">
        <v>27258</v>
      </c>
      <c r="D9" s="356">
        <v>29688.98</v>
      </c>
      <c r="E9" s="356">
        <v>30600</v>
      </c>
      <c r="F9" s="357">
        <v>31560</v>
      </c>
      <c r="H9" s="356">
        <f t="shared" ref="H9:L66" si="0">IFERROR(B9-N9,"")</f>
        <v>0</v>
      </c>
      <c r="I9" s="356">
        <f t="shared" si="0"/>
        <v>0</v>
      </c>
      <c r="J9" s="356">
        <f t="shared" si="0"/>
        <v>0</v>
      </c>
      <c r="K9" s="356">
        <f t="shared" si="0"/>
        <v>0</v>
      </c>
      <c r="L9" s="357">
        <f t="shared" si="0"/>
        <v>0</v>
      </c>
      <c r="N9" s="356">
        <v>36888.839999999997</v>
      </c>
      <c r="O9" s="356">
        <v>27258</v>
      </c>
      <c r="P9" s="356">
        <v>29688.98</v>
      </c>
      <c r="Q9" s="356">
        <v>30600</v>
      </c>
      <c r="R9" s="357">
        <v>31560</v>
      </c>
    </row>
    <row r="10" spans="1:18" x14ac:dyDescent="0.2">
      <c r="A10" s="355" t="s">
        <v>260</v>
      </c>
      <c r="B10" s="356">
        <v>192.6</v>
      </c>
      <c r="C10" s="356">
        <v>24</v>
      </c>
      <c r="D10" s="356">
        <v>20.420000000000002</v>
      </c>
      <c r="E10" s="356">
        <v>0</v>
      </c>
      <c r="F10" s="357">
        <v>0</v>
      </c>
      <c r="H10" s="356">
        <f t="shared" si="0"/>
        <v>0</v>
      </c>
      <c r="I10" s="356">
        <f t="shared" si="0"/>
        <v>0</v>
      </c>
      <c r="J10" s="356">
        <f t="shared" si="0"/>
        <v>0</v>
      </c>
      <c r="K10" s="356">
        <f t="shared" si="0"/>
        <v>0</v>
      </c>
      <c r="L10" s="357">
        <f t="shared" si="0"/>
        <v>0</v>
      </c>
      <c r="N10" s="356">
        <v>192.6</v>
      </c>
      <c r="O10" s="356">
        <v>24</v>
      </c>
      <c r="P10" s="356">
        <v>20.420000000000002</v>
      </c>
      <c r="Q10" s="356">
        <v>0</v>
      </c>
      <c r="R10" s="357">
        <v>0</v>
      </c>
    </row>
    <row r="11" spans="1:18" x14ac:dyDescent="0.2">
      <c r="A11" s="355" t="s">
        <v>261</v>
      </c>
      <c r="B11" s="356">
        <v>94.36</v>
      </c>
      <c r="C11" s="356">
        <v>25</v>
      </c>
      <c r="D11" s="356">
        <v>0</v>
      </c>
      <c r="E11" s="356">
        <v>0</v>
      </c>
      <c r="F11" s="357">
        <v>0</v>
      </c>
      <c r="H11" s="356">
        <f t="shared" si="0"/>
        <v>0</v>
      </c>
      <c r="I11" s="356">
        <f t="shared" si="0"/>
        <v>0</v>
      </c>
      <c r="J11" s="356">
        <f t="shared" si="0"/>
        <v>0</v>
      </c>
      <c r="K11" s="356">
        <f t="shared" si="0"/>
        <v>0</v>
      </c>
      <c r="L11" s="357">
        <f t="shared" si="0"/>
        <v>0</v>
      </c>
      <c r="N11" s="356">
        <v>94.36</v>
      </c>
      <c r="O11" s="356">
        <v>25</v>
      </c>
      <c r="P11" s="356">
        <v>0</v>
      </c>
      <c r="Q11" s="356">
        <v>0</v>
      </c>
      <c r="R11" s="357">
        <v>0</v>
      </c>
    </row>
    <row r="12" spans="1:18" x14ac:dyDescent="0.2">
      <c r="A12" s="355" t="s">
        <v>262</v>
      </c>
      <c r="B12" s="356">
        <v>453.49</v>
      </c>
      <c r="C12" s="356">
        <v>274</v>
      </c>
      <c r="D12" s="356">
        <v>372.82</v>
      </c>
      <c r="E12" s="356">
        <v>380</v>
      </c>
      <c r="F12" s="357">
        <v>400</v>
      </c>
      <c r="H12" s="356">
        <f t="shared" si="0"/>
        <v>0</v>
      </c>
      <c r="I12" s="356">
        <f t="shared" si="0"/>
        <v>0</v>
      </c>
      <c r="J12" s="356">
        <f t="shared" si="0"/>
        <v>0</v>
      </c>
      <c r="K12" s="356">
        <f t="shared" si="0"/>
        <v>0</v>
      </c>
      <c r="L12" s="357">
        <f t="shared" si="0"/>
        <v>0</v>
      </c>
      <c r="N12" s="356">
        <v>453.49</v>
      </c>
      <c r="O12" s="356">
        <v>274</v>
      </c>
      <c r="P12" s="356">
        <v>372.82</v>
      </c>
      <c r="Q12" s="356">
        <v>380</v>
      </c>
      <c r="R12" s="357">
        <v>400</v>
      </c>
    </row>
    <row r="13" spans="1:18" hidden="1" x14ac:dyDescent="0.2">
      <c r="A13" s="358" t="s">
        <v>263</v>
      </c>
      <c r="B13" s="356">
        <v>0</v>
      </c>
      <c r="C13" s="356">
        <v>0</v>
      </c>
      <c r="D13" s="356">
        <v>0</v>
      </c>
      <c r="E13" s="356">
        <v>0</v>
      </c>
      <c r="F13" s="357">
        <v>0</v>
      </c>
      <c r="H13" s="356">
        <f t="shared" si="0"/>
        <v>0</v>
      </c>
      <c r="I13" s="356">
        <f t="shared" si="0"/>
        <v>0</v>
      </c>
      <c r="J13" s="356">
        <f t="shared" si="0"/>
        <v>0</v>
      </c>
      <c r="K13" s="356">
        <f t="shared" si="0"/>
        <v>0</v>
      </c>
      <c r="L13" s="357">
        <f t="shared" si="0"/>
        <v>0</v>
      </c>
      <c r="N13" s="356">
        <v>0</v>
      </c>
      <c r="O13" s="356">
        <v>0</v>
      </c>
      <c r="P13" s="356">
        <v>0</v>
      </c>
      <c r="Q13" s="356">
        <v>0</v>
      </c>
      <c r="R13" s="357">
        <v>0</v>
      </c>
    </row>
    <row r="14" spans="1:18" x14ac:dyDescent="0.2">
      <c r="A14" s="355" t="s">
        <v>264</v>
      </c>
      <c r="B14" s="356">
        <v>1750.7800000000007</v>
      </c>
      <c r="C14" s="356">
        <v>1520</v>
      </c>
      <c r="D14" s="356">
        <v>1512.8</v>
      </c>
      <c r="E14" s="356">
        <v>1550</v>
      </c>
      <c r="F14" s="357">
        <v>1600</v>
      </c>
      <c r="H14" s="356">
        <f t="shared" si="0"/>
        <v>0</v>
      </c>
      <c r="I14" s="356">
        <f t="shared" si="0"/>
        <v>0</v>
      </c>
      <c r="J14" s="356">
        <f t="shared" si="0"/>
        <v>0</v>
      </c>
      <c r="K14" s="356">
        <f t="shared" si="0"/>
        <v>0</v>
      </c>
      <c r="L14" s="357">
        <f t="shared" si="0"/>
        <v>0</v>
      </c>
      <c r="N14" s="356">
        <v>1750.7800000000007</v>
      </c>
      <c r="O14" s="356">
        <v>1520</v>
      </c>
      <c r="P14" s="356">
        <v>1512.8</v>
      </c>
      <c r="Q14" s="356">
        <v>1550</v>
      </c>
      <c r="R14" s="357">
        <v>1600</v>
      </c>
    </row>
    <row r="15" spans="1:18" x14ac:dyDescent="0.2">
      <c r="A15" s="355" t="s">
        <v>265</v>
      </c>
      <c r="B15" s="356">
        <v>1501.67</v>
      </c>
      <c r="C15" s="356">
        <v>1231</v>
      </c>
      <c r="D15" s="356">
        <v>1307.69</v>
      </c>
      <c r="E15" s="356">
        <v>1330</v>
      </c>
      <c r="F15" s="357">
        <v>1400</v>
      </c>
      <c r="H15" s="356">
        <f t="shared" si="0"/>
        <v>0</v>
      </c>
      <c r="I15" s="356">
        <f t="shared" si="0"/>
        <v>0</v>
      </c>
      <c r="J15" s="356">
        <f t="shared" si="0"/>
        <v>0</v>
      </c>
      <c r="K15" s="356">
        <f t="shared" si="0"/>
        <v>0</v>
      </c>
      <c r="L15" s="357">
        <f t="shared" si="0"/>
        <v>0</v>
      </c>
      <c r="N15" s="356">
        <v>1501.67</v>
      </c>
      <c r="O15" s="356">
        <v>1231</v>
      </c>
      <c r="P15" s="356">
        <v>1307.69</v>
      </c>
      <c r="Q15" s="356">
        <v>1330</v>
      </c>
      <c r="R15" s="357">
        <v>1400</v>
      </c>
    </row>
    <row r="16" spans="1:18" x14ac:dyDescent="0.2">
      <c r="A16" s="355" t="s">
        <v>266</v>
      </c>
      <c r="B16" s="356">
        <v>1318.66</v>
      </c>
      <c r="C16" s="356">
        <v>1153</v>
      </c>
      <c r="D16" s="356">
        <v>1176.26</v>
      </c>
      <c r="E16" s="356">
        <v>1220</v>
      </c>
      <c r="F16" s="357">
        <v>1300</v>
      </c>
      <c r="H16" s="356">
        <f t="shared" si="0"/>
        <v>0</v>
      </c>
      <c r="I16" s="356">
        <f t="shared" si="0"/>
        <v>0</v>
      </c>
      <c r="J16" s="356">
        <f t="shared" si="0"/>
        <v>0</v>
      </c>
      <c r="K16" s="356">
        <f t="shared" si="0"/>
        <v>0</v>
      </c>
      <c r="L16" s="357">
        <f t="shared" si="0"/>
        <v>0</v>
      </c>
      <c r="N16" s="356">
        <v>1318.66</v>
      </c>
      <c r="O16" s="356">
        <v>1153</v>
      </c>
      <c r="P16" s="356">
        <v>1176.26</v>
      </c>
      <c r="Q16" s="356">
        <v>1220</v>
      </c>
      <c r="R16" s="357">
        <v>1300</v>
      </c>
    </row>
    <row r="17" spans="1:18" x14ac:dyDescent="0.2">
      <c r="A17" s="355" t="s">
        <v>267</v>
      </c>
      <c r="B17" s="356">
        <v>1014.9100000000001</v>
      </c>
      <c r="C17" s="356">
        <v>859</v>
      </c>
      <c r="D17" s="356">
        <v>954.24</v>
      </c>
      <c r="E17" s="356">
        <v>1010</v>
      </c>
      <c r="F17" s="357">
        <v>1100</v>
      </c>
      <c r="H17" s="356">
        <f t="shared" si="0"/>
        <v>0</v>
      </c>
      <c r="I17" s="356">
        <f t="shared" si="0"/>
        <v>0</v>
      </c>
      <c r="J17" s="356">
        <f t="shared" si="0"/>
        <v>0</v>
      </c>
      <c r="K17" s="356">
        <f t="shared" si="0"/>
        <v>0</v>
      </c>
      <c r="L17" s="357">
        <f t="shared" si="0"/>
        <v>0</v>
      </c>
      <c r="N17" s="356">
        <v>1014.9100000000001</v>
      </c>
      <c r="O17" s="356">
        <v>859</v>
      </c>
      <c r="P17" s="356">
        <v>954.24</v>
      </c>
      <c r="Q17" s="356">
        <v>1010</v>
      </c>
      <c r="R17" s="357">
        <v>1100</v>
      </c>
    </row>
    <row r="18" spans="1:18" x14ac:dyDescent="0.2">
      <c r="A18" s="355" t="s">
        <v>268</v>
      </c>
      <c r="B18" s="356">
        <v>526.07000000000005</v>
      </c>
      <c r="C18" s="356">
        <v>457</v>
      </c>
      <c r="D18" s="356">
        <v>316.24</v>
      </c>
      <c r="E18" s="356">
        <v>325</v>
      </c>
      <c r="F18" s="357">
        <v>350</v>
      </c>
      <c r="H18" s="356">
        <f t="shared" si="0"/>
        <v>0</v>
      </c>
      <c r="I18" s="356">
        <f t="shared" si="0"/>
        <v>0</v>
      </c>
      <c r="J18" s="356">
        <f t="shared" si="0"/>
        <v>0</v>
      </c>
      <c r="K18" s="356">
        <f t="shared" si="0"/>
        <v>0</v>
      </c>
      <c r="L18" s="357">
        <f t="shared" si="0"/>
        <v>0</v>
      </c>
      <c r="N18" s="356">
        <v>526.07000000000005</v>
      </c>
      <c r="O18" s="356">
        <v>457</v>
      </c>
      <c r="P18" s="356">
        <v>316.24</v>
      </c>
      <c r="Q18" s="356">
        <v>325</v>
      </c>
      <c r="R18" s="357">
        <v>350</v>
      </c>
    </row>
    <row r="19" spans="1:18" x14ac:dyDescent="0.2">
      <c r="A19" s="355" t="s">
        <v>269</v>
      </c>
      <c r="B19" s="356">
        <v>525.34</v>
      </c>
      <c r="C19" s="356">
        <v>386</v>
      </c>
      <c r="D19" s="356">
        <v>294.14</v>
      </c>
      <c r="E19" s="356">
        <v>300</v>
      </c>
      <c r="F19" s="357">
        <v>325</v>
      </c>
      <c r="H19" s="356">
        <f t="shared" si="0"/>
        <v>0</v>
      </c>
      <c r="I19" s="356">
        <f t="shared" si="0"/>
        <v>0</v>
      </c>
      <c r="J19" s="356">
        <f t="shared" si="0"/>
        <v>0</v>
      </c>
      <c r="K19" s="356">
        <f t="shared" si="0"/>
        <v>0</v>
      </c>
      <c r="L19" s="357">
        <f t="shared" si="0"/>
        <v>0</v>
      </c>
      <c r="N19" s="356">
        <v>525.34</v>
      </c>
      <c r="O19" s="356">
        <v>386</v>
      </c>
      <c r="P19" s="356">
        <v>294.14</v>
      </c>
      <c r="Q19" s="356">
        <v>300</v>
      </c>
      <c r="R19" s="357">
        <v>325</v>
      </c>
    </row>
    <row r="20" spans="1:18" x14ac:dyDescent="0.2">
      <c r="A20" s="355" t="s">
        <v>270</v>
      </c>
      <c r="B20" s="360">
        <v>306.49</v>
      </c>
      <c r="C20" s="360">
        <v>205</v>
      </c>
      <c r="D20" s="360">
        <v>189.41000000000003</v>
      </c>
      <c r="E20" s="356">
        <v>200</v>
      </c>
      <c r="F20" s="357">
        <v>215</v>
      </c>
      <c r="H20" s="360">
        <f t="shared" si="0"/>
        <v>0</v>
      </c>
      <c r="I20" s="360">
        <f t="shared" si="0"/>
        <v>0</v>
      </c>
      <c r="J20" s="360">
        <f t="shared" si="0"/>
        <v>0</v>
      </c>
      <c r="K20" s="356">
        <f t="shared" si="0"/>
        <v>0</v>
      </c>
      <c r="L20" s="357">
        <f t="shared" si="0"/>
        <v>0</v>
      </c>
      <c r="N20" s="360">
        <v>306.49</v>
      </c>
      <c r="O20" s="360">
        <v>205</v>
      </c>
      <c r="P20" s="360">
        <v>189.41000000000003</v>
      </c>
      <c r="Q20" s="356">
        <v>200</v>
      </c>
      <c r="R20" s="357">
        <v>215</v>
      </c>
    </row>
    <row r="21" spans="1:18" x14ac:dyDescent="0.2">
      <c r="A21" s="355" t="s">
        <v>271</v>
      </c>
      <c r="B21" s="359">
        <v>22376.151999999998</v>
      </c>
      <c r="C21" s="359">
        <v>22637</v>
      </c>
      <c r="D21" s="359">
        <v>22628.370000000003</v>
      </c>
      <c r="E21" s="356">
        <v>22700</v>
      </c>
      <c r="F21" s="357">
        <v>23000</v>
      </c>
      <c r="H21" s="359">
        <f t="shared" si="0"/>
        <v>0</v>
      </c>
      <c r="I21" s="359">
        <f t="shared" si="0"/>
        <v>0</v>
      </c>
      <c r="J21" s="359">
        <f t="shared" si="0"/>
        <v>0</v>
      </c>
      <c r="K21" s="356">
        <f t="shared" si="0"/>
        <v>0</v>
      </c>
      <c r="L21" s="357">
        <f t="shared" si="0"/>
        <v>0</v>
      </c>
      <c r="N21" s="359">
        <v>22376.151999999998</v>
      </c>
      <c r="O21" s="359">
        <v>22637</v>
      </c>
      <c r="P21" s="359">
        <v>22628.370000000003</v>
      </c>
      <c r="Q21" s="356">
        <v>22700</v>
      </c>
      <c r="R21" s="357">
        <v>23000</v>
      </c>
    </row>
    <row r="22" spans="1:18" x14ac:dyDescent="0.2">
      <c r="A22" s="355" t="s">
        <v>272</v>
      </c>
      <c r="B22" s="361">
        <v>1123.721</v>
      </c>
      <c r="C22" s="361">
        <v>997</v>
      </c>
      <c r="D22" s="361">
        <v>1347.2800000000002</v>
      </c>
      <c r="E22" s="356">
        <v>1400</v>
      </c>
      <c r="F22" s="357">
        <v>1450</v>
      </c>
      <c r="H22" s="361">
        <f t="shared" si="0"/>
        <v>0</v>
      </c>
      <c r="I22" s="361">
        <f t="shared" si="0"/>
        <v>0</v>
      </c>
      <c r="J22" s="361">
        <f t="shared" si="0"/>
        <v>0</v>
      </c>
      <c r="K22" s="356">
        <f t="shared" si="0"/>
        <v>0</v>
      </c>
      <c r="L22" s="357">
        <f t="shared" si="0"/>
        <v>0</v>
      </c>
      <c r="N22" s="361">
        <v>1123.721</v>
      </c>
      <c r="O22" s="361">
        <v>997</v>
      </c>
      <c r="P22" s="361">
        <v>1347.2800000000002</v>
      </c>
      <c r="Q22" s="356">
        <v>1400</v>
      </c>
      <c r="R22" s="357">
        <v>1450</v>
      </c>
    </row>
    <row r="23" spans="1:18" ht="5.0999999999999996" customHeight="1" x14ac:dyDescent="0.2">
      <c r="A23" s="362"/>
      <c r="B23" s="364"/>
      <c r="C23" s="364"/>
      <c r="D23" s="364"/>
      <c r="E23" s="363"/>
      <c r="F23" s="365"/>
      <c r="H23" s="364"/>
      <c r="I23" s="364"/>
      <c r="J23" s="364"/>
      <c r="K23" s="363"/>
      <c r="L23" s="365"/>
      <c r="N23" s="364"/>
      <c r="O23" s="364"/>
      <c r="P23" s="364"/>
      <c r="Q23" s="363"/>
      <c r="R23" s="365"/>
    </row>
    <row r="24" spans="1:18" ht="12.95" customHeight="1" x14ac:dyDescent="0.2">
      <c r="A24" s="366" t="s">
        <v>204</v>
      </c>
      <c r="B24" s="367">
        <f t="shared" ref="B24:F24" si="1">SUM(B8:B23)</f>
        <v>135673.443</v>
      </c>
      <c r="C24" s="367">
        <f t="shared" si="1"/>
        <v>125611</v>
      </c>
      <c r="D24" s="367">
        <f t="shared" si="1"/>
        <v>133495.69000000003</v>
      </c>
      <c r="E24" s="367">
        <f>SUM(E8:E23)</f>
        <v>135915</v>
      </c>
      <c r="F24" s="367">
        <f t="shared" si="1"/>
        <v>139050</v>
      </c>
      <c r="G24" s="368"/>
      <c r="H24" s="367">
        <f t="shared" si="0"/>
        <v>0</v>
      </c>
      <c r="I24" s="367">
        <f t="shared" si="0"/>
        <v>0</v>
      </c>
      <c r="J24" s="367">
        <f t="shared" si="0"/>
        <v>0</v>
      </c>
      <c r="K24" s="367">
        <f t="shared" si="0"/>
        <v>0</v>
      </c>
      <c r="L24" s="367">
        <f t="shared" si="0"/>
        <v>0</v>
      </c>
      <c r="N24" s="367">
        <v>135673.443</v>
      </c>
      <c r="O24" s="367">
        <v>125611</v>
      </c>
      <c r="P24" s="367">
        <v>133495.69000000003</v>
      </c>
      <c r="Q24" s="367">
        <v>135915</v>
      </c>
      <c r="R24" s="367">
        <v>139050</v>
      </c>
    </row>
    <row r="25" spans="1:18" ht="18" customHeight="1" x14ac:dyDescent="0.2">
      <c r="A25" s="352" t="s">
        <v>273</v>
      </c>
      <c r="B25" s="353"/>
      <c r="C25" s="353"/>
      <c r="D25" s="353"/>
      <c r="E25" s="354"/>
      <c r="F25" s="354"/>
      <c r="H25" s="353"/>
      <c r="I25" s="353"/>
      <c r="J25" s="353"/>
      <c r="K25" s="354"/>
      <c r="L25" s="354"/>
      <c r="N25" s="353"/>
      <c r="O25" s="353"/>
      <c r="P25" s="353"/>
      <c r="Q25" s="354"/>
      <c r="R25" s="354"/>
    </row>
    <row r="26" spans="1:18" ht="15" customHeight="1" x14ac:dyDescent="0.2">
      <c r="A26" s="355" t="s">
        <v>258</v>
      </c>
      <c r="B26" s="369">
        <v>108.98497226937843</v>
      </c>
      <c r="C26" s="369">
        <v>95.36</v>
      </c>
      <c r="D26" s="369">
        <v>107.03832193558051</v>
      </c>
      <c r="E26" s="369">
        <v>135.30561986402901</v>
      </c>
      <c r="F26" s="369">
        <v>111.42288684099178</v>
      </c>
      <c r="G26" s="370"/>
      <c r="H26" s="369">
        <f t="shared" si="0"/>
        <v>0</v>
      </c>
      <c r="I26" s="369">
        <f t="shared" si="0"/>
        <v>0</v>
      </c>
      <c r="J26" s="369">
        <f t="shared" si="0"/>
        <v>0</v>
      </c>
      <c r="K26" s="369">
        <f t="shared" si="0"/>
        <v>26.240364954273005</v>
      </c>
      <c r="L26" s="369">
        <f t="shared" si="0"/>
        <v>5.8149770180487792</v>
      </c>
      <c r="N26" s="369">
        <v>108.98497226937843</v>
      </c>
      <c r="O26" s="369">
        <v>95.36</v>
      </c>
      <c r="P26" s="369">
        <v>107.03832193558051</v>
      </c>
      <c r="Q26" s="369">
        <v>109.06525490975601</v>
      </c>
      <c r="R26" s="369">
        <v>105.607909822943</v>
      </c>
    </row>
    <row r="27" spans="1:18" s="29" customFormat="1" x14ac:dyDescent="0.2">
      <c r="A27" s="354" t="s">
        <v>259</v>
      </c>
      <c r="B27" s="371">
        <v>166.08268083246861</v>
      </c>
      <c r="C27" s="371">
        <v>138.93</v>
      </c>
      <c r="D27" s="371">
        <v>146.61874237511697</v>
      </c>
      <c r="E27" s="371">
        <v>165.21916103278025</v>
      </c>
      <c r="F27" s="371">
        <v>157.93928464151711</v>
      </c>
      <c r="G27" s="372"/>
      <c r="H27" s="371">
        <f t="shared" si="0"/>
        <v>0</v>
      </c>
      <c r="I27" s="371">
        <f t="shared" si="0"/>
        <v>0</v>
      </c>
      <c r="J27" s="371">
        <f t="shared" si="0"/>
        <v>0</v>
      </c>
      <c r="K27" s="371">
        <f t="shared" si="0"/>
        <v>34.294981253853052</v>
      </c>
      <c r="L27" s="371">
        <f t="shared" si="0"/>
        <v>10.339364044214562</v>
      </c>
      <c r="N27" s="371">
        <v>166.08268083246861</v>
      </c>
      <c r="O27" s="371">
        <v>138.93</v>
      </c>
      <c r="P27" s="371">
        <v>146.61874237511697</v>
      </c>
      <c r="Q27" s="371">
        <v>130.9241797789272</v>
      </c>
      <c r="R27" s="371">
        <v>147.59992059730254</v>
      </c>
    </row>
    <row r="28" spans="1:18" x14ac:dyDescent="0.2">
      <c r="A28" s="354" t="s">
        <v>260</v>
      </c>
      <c r="B28" s="371">
        <v>249.9195223260644</v>
      </c>
      <c r="C28" s="371">
        <v>270</v>
      </c>
      <c r="D28" s="371">
        <v>188</v>
      </c>
      <c r="E28" s="371">
        <v>0</v>
      </c>
      <c r="F28" s="371">
        <v>247.19640446521288</v>
      </c>
      <c r="G28" s="373"/>
      <c r="H28" s="371">
        <f t="shared" si="0"/>
        <v>0</v>
      </c>
      <c r="I28" s="371">
        <f t="shared" si="0"/>
        <v>0</v>
      </c>
      <c r="J28" s="371">
        <f t="shared" si="0"/>
        <v>0</v>
      </c>
      <c r="K28" s="371">
        <f t="shared" si="0"/>
        <v>-188</v>
      </c>
      <c r="L28" s="371">
        <f t="shared" si="0"/>
        <v>21.02849999999998</v>
      </c>
      <c r="N28" s="371">
        <v>249.9195223260644</v>
      </c>
      <c r="O28" s="371">
        <v>270</v>
      </c>
      <c r="P28" s="371">
        <v>188</v>
      </c>
      <c r="Q28" s="371">
        <v>188</v>
      </c>
      <c r="R28" s="371">
        <v>226.1679044652129</v>
      </c>
    </row>
    <row r="29" spans="1:18" x14ac:dyDescent="0.2">
      <c r="A29" s="355" t="s">
        <v>261</v>
      </c>
      <c r="B29" s="374">
        <v>143.80192878338278</v>
      </c>
      <c r="C29" s="374">
        <v>150</v>
      </c>
      <c r="D29" s="374">
        <v>0</v>
      </c>
      <c r="E29" s="374">
        <v>0</v>
      </c>
      <c r="F29" s="374">
        <v>128.09946575667655</v>
      </c>
      <c r="G29" s="373"/>
      <c r="H29" s="374">
        <f t="shared" si="0"/>
        <v>0</v>
      </c>
      <c r="I29" s="374">
        <f t="shared" si="0"/>
        <v>0</v>
      </c>
      <c r="J29" s="374">
        <f t="shared" si="0"/>
        <v>0</v>
      </c>
      <c r="K29" s="374">
        <f t="shared" si="0"/>
        <v>0</v>
      </c>
      <c r="L29" s="374">
        <f t="shared" si="0"/>
        <v>128.09946575667655</v>
      </c>
      <c r="N29" s="374">
        <v>143.80192878338278</v>
      </c>
      <c r="O29" s="374">
        <v>150</v>
      </c>
      <c r="P29" s="374">
        <v>0</v>
      </c>
      <c r="Q29" s="374">
        <v>0</v>
      </c>
      <c r="R29" s="374">
        <v>0</v>
      </c>
    </row>
    <row r="30" spans="1:18" x14ac:dyDescent="0.2">
      <c r="A30" s="355" t="s">
        <v>262</v>
      </c>
      <c r="B30" s="374">
        <v>4098.1062426955386</v>
      </c>
      <c r="C30" s="374">
        <v>4275.6899999999996</v>
      </c>
      <c r="D30" s="374">
        <v>3641.3004667131595</v>
      </c>
      <c r="E30" s="374">
        <v>3831.6081860579288</v>
      </c>
      <c r="F30" s="374">
        <v>4068.4993418817403</v>
      </c>
      <c r="G30" s="373"/>
      <c r="H30" s="374">
        <f t="shared" si="0"/>
        <v>0</v>
      </c>
      <c r="I30" s="374">
        <f t="shared" si="0"/>
        <v>0</v>
      </c>
      <c r="J30" s="374">
        <f t="shared" si="0"/>
        <v>0</v>
      </c>
      <c r="K30" s="374">
        <f t="shared" si="0"/>
        <v>-188.39181394207117</v>
      </c>
      <c r="L30" s="374">
        <f t="shared" si="0"/>
        <v>17.328000000000884</v>
      </c>
      <c r="N30" s="374">
        <v>4098.1062426955386</v>
      </c>
      <c r="O30" s="374">
        <v>4275.6899999999996</v>
      </c>
      <c r="P30" s="374">
        <v>3641.3004667131595</v>
      </c>
      <c r="Q30" s="374">
        <v>4020</v>
      </c>
      <c r="R30" s="374">
        <v>4051.1713418817394</v>
      </c>
    </row>
    <row r="31" spans="1:18" hidden="1" x14ac:dyDescent="0.2">
      <c r="A31" s="358" t="s">
        <v>263</v>
      </c>
      <c r="B31" s="374">
        <v>0</v>
      </c>
      <c r="C31" s="374">
        <v>0</v>
      </c>
      <c r="D31" s="374">
        <v>0</v>
      </c>
      <c r="E31" s="374">
        <v>0</v>
      </c>
      <c r="F31" s="374">
        <v>76.38</v>
      </c>
      <c r="G31" s="373"/>
      <c r="H31" s="374">
        <f t="shared" si="0"/>
        <v>0</v>
      </c>
      <c r="I31" s="374">
        <f t="shared" si="0"/>
        <v>0</v>
      </c>
      <c r="J31" s="374">
        <f t="shared" si="0"/>
        <v>0</v>
      </c>
      <c r="K31" s="374">
        <f t="shared" si="0"/>
        <v>0</v>
      </c>
      <c r="L31" s="374">
        <f t="shared" si="0"/>
        <v>76.38</v>
      </c>
      <c r="N31" s="374">
        <v>0</v>
      </c>
      <c r="O31" s="374">
        <v>0</v>
      </c>
      <c r="P31" s="374">
        <v>0</v>
      </c>
      <c r="Q31" s="374">
        <v>0</v>
      </c>
      <c r="R31" s="374">
        <v>0</v>
      </c>
    </row>
    <row r="32" spans="1:18" x14ac:dyDescent="0.2">
      <c r="A32" s="355" t="s">
        <v>264</v>
      </c>
      <c r="B32" s="374">
        <v>145.52108203200854</v>
      </c>
      <c r="C32" s="374">
        <v>92.72</v>
      </c>
      <c r="D32" s="374">
        <v>48.670319936541503</v>
      </c>
      <c r="E32" s="374">
        <v>109.05410092683312</v>
      </c>
      <c r="F32" s="374">
        <v>125.39696039371002</v>
      </c>
      <c r="G32" s="373"/>
      <c r="H32" s="374">
        <f t="shared" si="0"/>
        <v>0</v>
      </c>
      <c r="I32" s="374">
        <f t="shared" si="0"/>
        <v>0</v>
      </c>
      <c r="J32" s="374">
        <f t="shared" si="0"/>
        <v>0</v>
      </c>
      <c r="K32" s="374">
        <f t="shared" si="0"/>
        <v>38.664100926833115</v>
      </c>
      <c r="L32" s="374">
        <f t="shared" si="0"/>
        <v>25.280680000000018</v>
      </c>
      <c r="N32" s="374">
        <v>145.52108203200854</v>
      </c>
      <c r="O32" s="374">
        <v>92.72</v>
      </c>
      <c r="P32" s="374">
        <v>48.670319936541503</v>
      </c>
      <c r="Q32" s="374">
        <v>70.39</v>
      </c>
      <c r="R32" s="374">
        <v>100.11628039371</v>
      </c>
    </row>
    <row r="33" spans="1:18" x14ac:dyDescent="0.2">
      <c r="A33" s="355" t="s">
        <v>265</v>
      </c>
      <c r="B33" s="374">
        <v>1845.744204785339</v>
      </c>
      <c r="C33" s="374">
        <v>1826.45</v>
      </c>
      <c r="D33" s="374">
        <v>1876.619642269957</v>
      </c>
      <c r="E33" s="374">
        <v>1652.6562359931204</v>
      </c>
      <c r="F33" s="374">
        <v>1967.7645750486868</v>
      </c>
      <c r="G33" s="373"/>
      <c r="H33" s="374">
        <f t="shared" si="0"/>
        <v>0</v>
      </c>
      <c r="I33" s="374">
        <f t="shared" si="0"/>
        <v>0</v>
      </c>
      <c r="J33" s="374">
        <f t="shared" si="0"/>
        <v>0</v>
      </c>
      <c r="K33" s="374">
        <f t="shared" si="0"/>
        <v>-315.10833905556638</v>
      </c>
      <c r="L33" s="374">
        <f t="shared" si="0"/>
        <v>58.404890627890381</v>
      </c>
      <c r="N33" s="374">
        <v>1845.744204785339</v>
      </c>
      <c r="O33" s="374">
        <v>1826.45</v>
      </c>
      <c r="P33" s="374">
        <v>1876.619642269957</v>
      </c>
      <c r="Q33" s="374">
        <v>1967.7645750486868</v>
      </c>
      <c r="R33" s="374">
        <v>1909.3596844207964</v>
      </c>
    </row>
    <row r="34" spans="1:18" x14ac:dyDescent="0.2">
      <c r="A34" s="355" t="s">
        <v>266</v>
      </c>
      <c r="B34" s="374">
        <v>802.63961900717391</v>
      </c>
      <c r="C34" s="374">
        <v>822.38</v>
      </c>
      <c r="D34" s="374">
        <v>614.14450886708721</v>
      </c>
      <c r="E34" s="374">
        <v>459.8770923110128</v>
      </c>
      <c r="F34" s="374">
        <v>705.07146557485225</v>
      </c>
      <c r="G34" s="373"/>
      <c r="H34" s="374">
        <f t="shared" si="0"/>
        <v>0</v>
      </c>
      <c r="I34" s="374">
        <f t="shared" si="0"/>
        <v>0</v>
      </c>
      <c r="J34" s="374">
        <f t="shared" si="0"/>
        <v>0</v>
      </c>
      <c r="K34" s="374">
        <f t="shared" si="0"/>
        <v>-0.12290768898719762</v>
      </c>
      <c r="L34" s="374">
        <f t="shared" si="0"/>
        <v>39.836639999999989</v>
      </c>
      <c r="N34" s="374">
        <v>802.63961900717391</v>
      </c>
      <c r="O34" s="374">
        <v>822.38</v>
      </c>
      <c r="P34" s="374">
        <v>614.14450886708721</v>
      </c>
      <c r="Q34" s="374">
        <v>460</v>
      </c>
      <c r="R34" s="374">
        <v>665.23482557485227</v>
      </c>
    </row>
    <row r="35" spans="1:18" x14ac:dyDescent="0.2">
      <c r="A35" s="355" t="s">
        <v>267</v>
      </c>
      <c r="B35" s="374">
        <v>28.156683843887635</v>
      </c>
      <c r="C35" s="374">
        <v>95.54</v>
      </c>
      <c r="D35" s="374">
        <v>77.62333375251508</v>
      </c>
      <c r="E35" s="374">
        <v>97.680902435225065</v>
      </c>
      <c r="F35" s="374">
        <v>61.300003519280537</v>
      </c>
      <c r="G35" s="373"/>
      <c r="H35" s="374">
        <f t="shared" si="0"/>
        <v>0</v>
      </c>
      <c r="I35" s="374">
        <f t="shared" si="0"/>
        <v>0</v>
      </c>
      <c r="J35" s="374">
        <f t="shared" si="0"/>
        <v>0</v>
      </c>
      <c r="K35" s="374">
        <f t="shared" si="0"/>
        <v>1.6809024352250646</v>
      </c>
      <c r="L35" s="374">
        <f t="shared" si="0"/>
        <v>-7.494000000000014</v>
      </c>
      <c r="N35" s="374">
        <v>28.156683843887635</v>
      </c>
      <c r="O35" s="374">
        <v>95.54</v>
      </c>
      <c r="P35" s="374">
        <v>77.62333375251508</v>
      </c>
      <c r="Q35" s="374">
        <v>96</v>
      </c>
      <c r="R35" s="374">
        <v>68.794003519280551</v>
      </c>
    </row>
    <row r="36" spans="1:18" x14ac:dyDescent="0.2">
      <c r="A36" s="355" t="s">
        <v>268</v>
      </c>
      <c r="B36" s="374">
        <v>201.87807706198794</v>
      </c>
      <c r="C36" s="374">
        <v>241.9</v>
      </c>
      <c r="D36" s="374">
        <v>242.99999999999997</v>
      </c>
      <c r="E36" s="374">
        <v>243</v>
      </c>
      <c r="F36" s="374">
        <v>230.7936154123976</v>
      </c>
      <c r="G36" s="373"/>
      <c r="H36" s="374">
        <f t="shared" si="0"/>
        <v>0</v>
      </c>
      <c r="I36" s="374">
        <f t="shared" si="0"/>
        <v>0</v>
      </c>
      <c r="J36" s="374">
        <f t="shared" si="0"/>
        <v>0</v>
      </c>
      <c r="K36" s="374">
        <f t="shared" si="0"/>
        <v>12.210000000000008</v>
      </c>
      <c r="L36" s="374">
        <f t="shared" si="0"/>
        <v>-15.039999999999992</v>
      </c>
      <c r="N36" s="374">
        <v>201.87807706198794</v>
      </c>
      <c r="O36" s="374">
        <v>241.9</v>
      </c>
      <c r="P36" s="374">
        <v>242.99999999999997</v>
      </c>
      <c r="Q36" s="374">
        <v>230.79</v>
      </c>
      <c r="R36" s="374">
        <v>245.83361541239759</v>
      </c>
    </row>
    <row r="37" spans="1:18" x14ac:dyDescent="0.2">
      <c r="A37" s="355" t="s">
        <v>269</v>
      </c>
      <c r="B37" s="374">
        <v>190.19071458484029</v>
      </c>
      <c r="C37" s="374">
        <v>236.93</v>
      </c>
      <c r="D37" s="374">
        <v>237.99999999999997</v>
      </c>
      <c r="E37" s="374">
        <v>238</v>
      </c>
      <c r="F37" s="374">
        <v>226.24014291696807</v>
      </c>
      <c r="G37" s="373"/>
      <c r="H37" s="374">
        <f t="shared" si="0"/>
        <v>0</v>
      </c>
      <c r="I37" s="374">
        <f t="shared" si="0"/>
        <v>0</v>
      </c>
      <c r="J37" s="374">
        <f t="shared" si="0"/>
        <v>0</v>
      </c>
      <c r="K37" s="374">
        <f t="shared" si="0"/>
        <v>11.759999999999991</v>
      </c>
      <c r="L37" s="374">
        <f t="shared" si="0"/>
        <v>-15.129999999999995</v>
      </c>
      <c r="N37" s="374">
        <v>190.19071458484029</v>
      </c>
      <c r="O37" s="374">
        <v>236.93</v>
      </c>
      <c r="P37" s="374">
        <v>237.99999999999997</v>
      </c>
      <c r="Q37" s="374">
        <v>226.24</v>
      </c>
      <c r="R37" s="374">
        <v>241.37014291696806</v>
      </c>
    </row>
    <row r="38" spans="1:18" x14ac:dyDescent="0.2">
      <c r="A38" s="355" t="s">
        <v>270</v>
      </c>
      <c r="B38" s="374">
        <v>180.53013148879242</v>
      </c>
      <c r="C38" s="374">
        <v>227.92</v>
      </c>
      <c r="D38" s="374">
        <v>228.99999999999997</v>
      </c>
      <c r="E38" s="374">
        <v>278.397483849031</v>
      </c>
      <c r="F38" s="374">
        <v>216.41002629775849</v>
      </c>
      <c r="G38" s="373"/>
      <c r="H38" s="374">
        <f t="shared" si="0"/>
        <v>0</v>
      </c>
      <c r="I38" s="374">
        <f t="shared" si="0"/>
        <v>0</v>
      </c>
      <c r="J38" s="374">
        <f t="shared" si="0"/>
        <v>0</v>
      </c>
      <c r="K38" s="374">
        <f t="shared" si="0"/>
        <v>61.987483849031008</v>
      </c>
      <c r="L38" s="374">
        <f t="shared" si="0"/>
        <v>-14.96399999999997</v>
      </c>
      <c r="N38" s="374">
        <v>180.53013148879242</v>
      </c>
      <c r="O38" s="374">
        <v>227.92</v>
      </c>
      <c r="P38" s="374">
        <v>228.99999999999997</v>
      </c>
      <c r="Q38" s="374">
        <v>216.41</v>
      </c>
      <c r="R38" s="374">
        <v>231.37402629775846</v>
      </c>
    </row>
    <row r="39" spans="1:18" x14ac:dyDescent="0.2">
      <c r="A39" s="355" t="s">
        <v>271</v>
      </c>
      <c r="B39" s="374">
        <v>133.02876639868771</v>
      </c>
      <c r="C39" s="374">
        <v>112.42</v>
      </c>
      <c r="D39" s="374">
        <v>126.34964383205683</v>
      </c>
      <c r="E39" s="374">
        <v>127.18130233352623</v>
      </c>
      <c r="F39" s="374">
        <v>122.13766204614892</v>
      </c>
      <c r="G39" s="373"/>
      <c r="H39" s="374">
        <f t="shared" si="0"/>
        <v>0</v>
      </c>
      <c r="I39" s="374">
        <f t="shared" si="0"/>
        <v>0</v>
      </c>
      <c r="J39" s="374">
        <f t="shared" si="0"/>
        <v>0</v>
      </c>
      <c r="K39" s="374">
        <f t="shared" si="0"/>
        <v>4.7713023335262363</v>
      </c>
      <c r="L39" s="374">
        <f t="shared" si="0"/>
        <v>-0.3654200000000003</v>
      </c>
      <c r="N39" s="374">
        <v>133.02876639868771</v>
      </c>
      <c r="O39" s="374">
        <v>112.42</v>
      </c>
      <c r="P39" s="374">
        <v>126.34964383205683</v>
      </c>
      <c r="Q39" s="374">
        <v>122.41</v>
      </c>
      <c r="R39" s="374">
        <v>122.50308204614892</v>
      </c>
    </row>
    <row r="40" spans="1:18" x14ac:dyDescent="0.2">
      <c r="A40" s="355" t="s">
        <v>272</v>
      </c>
      <c r="B40" s="374">
        <v>132.05135336230035</v>
      </c>
      <c r="C40" s="374">
        <v>109.24</v>
      </c>
      <c r="D40" s="374">
        <v>127.39787571996912</v>
      </c>
      <c r="E40" s="374">
        <v>147.99871078642028</v>
      </c>
      <c r="F40" s="374">
        <v>119.10984581645388</v>
      </c>
      <c r="G40" s="373"/>
      <c r="H40" s="374">
        <f t="shared" si="0"/>
        <v>0</v>
      </c>
      <c r="I40" s="374">
        <f t="shared" si="0"/>
        <v>0</v>
      </c>
      <c r="J40" s="374">
        <f t="shared" si="0"/>
        <v>0</v>
      </c>
      <c r="K40" s="374">
        <f t="shared" si="0"/>
        <v>26.998710786420276</v>
      </c>
      <c r="L40" s="374">
        <f t="shared" si="0"/>
        <v>-8.2000000000022055E-2</v>
      </c>
      <c r="N40" s="374">
        <v>132.05135336230035</v>
      </c>
      <c r="O40" s="374">
        <v>109.24</v>
      </c>
      <c r="P40" s="374">
        <v>127.39787571996912</v>
      </c>
      <c r="Q40" s="374">
        <v>121</v>
      </c>
      <c r="R40" s="374">
        <v>119.19184581645391</v>
      </c>
    </row>
    <row r="41" spans="1:18" ht="18" customHeight="1" x14ac:dyDescent="0.2">
      <c r="A41" s="375" t="s">
        <v>84</v>
      </c>
      <c r="B41" s="375"/>
      <c r="C41" s="375"/>
      <c r="D41" s="375"/>
      <c r="E41" s="376"/>
      <c r="F41" s="376"/>
      <c r="H41" s="375"/>
      <c r="I41" s="375"/>
      <c r="J41" s="375"/>
      <c r="K41" s="376"/>
      <c r="L41" s="376"/>
      <c r="N41" s="375"/>
      <c r="O41" s="375"/>
      <c r="P41" s="375"/>
      <c r="Q41" s="376"/>
      <c r="R41" s="376"/>
    </row>
    <row r="42" spans="1:18" x14ac:dyDescent="0.2">
      <c r="A42" s="355" t="s">
        <v>258</v>
      </c>
      <c r="B42" s="377">
        <f>+B8*B26</f>
        <v>7367423.3599999994</v>
      </c>
      <c r="C42" s="377">
        <f>+C8*C26</f>
        <v>6540265.5999999996</v>
      </c>
      <c r="D42" s="377">
        <f>+D8*D26</f>
        <v>7887337.1099999994</v>
      </c>
      <c r="E42" s="377">
        <f>+E8*E26</f>
        <v>10134390.927815773</v>
      </c>
      <c r="F42" s="377">
        <f t="shared" ref="E42:F46" si="2">+F8*F26</f>
        <v>8507137.4103097226</v>
      </c>
      <c r="H42" s="377">
        <f t="shared" si="0"/>
        <v>0</v>
      </c>
      <c r="I42" s="377">
        <f t="shared" si="0"/>
        <v>0</v>
      </c>
      <c r="J42" s="377">
        <f t="shared" si="0"/>
        <v>0</v>
      </c>
      <c r="K42" s="377">
        <f t="shared" si="0"/>
        <v>1965403.3350750478</v>
      </c>
      <c r="L42" s="377">
        <f t="shared" si="0"/>
        <v>443973.49532802496</v>
      </c>
      <c r="N42" s="377">
        <v>7367423.3599999994</v>
      </c>
      <c r="O42" s="377">
        <v>6540265.5999999996</v>
      </c>
      <c r="P42" s="377">
        <v>7887337.1099999994</v>
      </c>
      <c r="Q42" s="377">
        <v>8168987.5927407248</v>
      </c>
      <c r="R42" s="377">
        <v>8063163.9149816977</v>
      </c>
    </row>
    <row r="43" spans="1:18" x14ac:dyDescent="0.2">
      <c r="A43" s="354" t="s">
        <v>259</v>
      </c>
      <c r="B43" s="359">
        <f t="shared" ref="B43:D46" si="3">+B9*B27</f>
        <v>6126597.4400000004</v>
      </c>
      <c r="C43" s="359">
        <f t="shared" si="3"/>
        <v>3786953.9400000004</v>
      </c>
      <c r="D43" s="359">
        <f t="shared" si="3"/>
        <v>4352960.91</v>
      </c>
      <c r="E43" s="359">
        <f t="shared" si="2"/>
        <v>5055706.3276030757</v>
      </c>
      <c r="F43" s="359">
        <f t="shared" si="2"/>
        <v>4984563.82328628</v>
      </c>
      <c r="H43" s="359">
        <f t="shared" si="0"/>
        <v>0</v>
      </c>
      <c r="I43" s="359">
        <f t="shared" si="0"/>
        <v>0</v>
      </c>
      <c r="J43" s="359">
        <f t="shared" si="0"/>
        <v>0</v>
      </c>
      <c r="K43" s="359">
        <f t="shared" si="0"/>
        <v>1049426.4263679036</v>
      </c>
      <c r="L43" s="359">
        <f t="shared" si="0"/>
        <v>326310.32923541218</v>
      </c>
      <c r="N43" s="378">
        <v>6126597.4400000004</v>
      </c>
      <c r="O43" s="378">
        <v>3786953.9400000004</v>
      </c>
      <c r="P43" s="378">
        <v>4352960.91</v>
      </c>
      <c r="Q43" s="378">
        <v>4006279.9012351721</v>
      </c>
      <c r="R43" s="378">
        <v>4658253.4940508679</v>
      </c>
    </row>
    <row r="44" spans="1:18" x14ac:dyDescent="0.2">
      <c r="A44" s="354" t="s">
        <v>260</v>
      </c>
      <c r="B44" s="359">
        <f t="shared" si="3"/>
        <v>48134.5</v>
      </c>
      <c r="C44" s="359">
        <f t="shared" si="3"/>
        <v>6480</v>
      </c>
      <c r="D44" s="359">
        <f t="shared" si="3"/>
        <v>3838.9600000000005</v>
      </c>
      <c r="E44" s="359">
        <f>+E10*E28</f>
        <v>0</v>
      </c>
      <c r="F44" s="359">
        <f t="shared" si="2"/>
        <v>0</v>
      </c>
      <c r="H44" s="359">
        <f t="shared" si="0"/>
        <v>0</v>
      </c>
      <c r="I44" s="359">
        <f t="shared" si="0"/>
        <v>0</v>
      </c>
      <c r="J44" s="359">
        <f t="shared" si="0"/>
        <v>0</v>
      </c>
      <c r="K44" s="359">
        <f t="shared" si="0"/>
        <v>0</v>
      </c>
      <c r="L44" s="359">
        <f t="shared" si="0"/>
        <v>0</v>
      </c>
      <c r="N44" s="378">
        <v>48134.5</v>
      </c>
      <c r="O44" s="359">
        <v>6480</v>
      </c>
      <c r="P44" s="359">
        <v>3838.9600000000005</v>
      </c>
      <c r="Q44" s="359">
        <v>0</v>
      </c>
      <c r="R44" s="359">
        <v>0</v>
      </c>
    </row>
    <row r="45" spans="1:18" x14ac:dyDescent="0.2">
      <c r="A45" s="355" t="s">
        <v>261</v>
      </c>
      <c r="B45" s="359">
        <f t="shared" si="3"/>
        <v>13569.15</v>
      </c>
      <c r="C45" s="359">
        <f t="shared" si="3"/>
        <v>3750</v>
      </c>
      <c r="D45" s="359">
        <f t="shared" si="3"/>
        <v>0</v>
      </c>
      <c r="E45" s="359">
        <f t="shared" si="2"/>
        <v>0</v>
      </c>
      <c r="F45" s="359">
        <f t="shared" si="2"/>
        <v>0</v>
      </c>
      <c r="H45" s="359">
        <f t="shared" si="0"/>
        <v>0</v>
      </c>
      <c r="I45" s="359">
        <f t="shared" si="0"/>
        <v>0</v>
      </c>
      <c r="J45" s="359">
        <f t="shared" si="0"/>
        <v>0</v>
      </c>
      <c r="K45" s="359">
        <f t="shared" si="0"/>
        <v>0</v>
      </c>
      <c r="L45" s="359">
        <f t="shared" si="0"/>
        <v>0</v>
      </c>
      <c r="N45" s="378">
        <v>13569.15</v>
      </c>
      <c r="O45" s="359">
        <v>3750</v>
      </c>
      <c r="P45" s="359">
        <v>0</v>
      </c>
      <c r="Q45" s="359">
        <v>0</v>
      </c>
      <c r="R45" s="359">
        <v>0</v>
      </c>
    </row>
    <row r="46" spans="1:18" x14ac:dyDescent="0.2">
      <c r="A46" s="355" t="s">
        <v>262</v>
      </c>
      <c r="B46" s="359">
        <f t="shared" si="3"/>
        <v>1858450.2</v>
      </c>
      <c r="C46" s="359">
        <f t="shared" si="3"/>
        <v>1171539.0599999998</v>
      </c>
      <c r="D46" s="359">
        <f t="shared" si="3"/>
        <v>1357549.6400000001</v>
      </c>
      <c r="E46" s="359">
        <f t="shared" si="2"/>
        <v>1456011.1107020129</v>
      </c>
      <c r="F46" s="359">
        <f t="shared" si="2"/>
        <v>1627399.7367526961</v>
      </c>
      <c r="H46" s="359">
        <f t="shared" si="0"/>
        <v>0</v>
      </c>
      <c r="I46" s="359">
        <f t="shared" si="0"/>
        <v>0</v>
      </c>
      <c r="J46" s="359">
        <f t="shared" si="0"/>
        <v>0</v>
      </c>
      <c r="K46" s="359">
        <f t="shared" si="0"/>
        <v>-71588.889297987102</v>
      </c>
      <c r="L46" s="359">
        <f t="shared" si="0"/>
        <v>6931.2000000004191</v>
      </c>
      <c r="N46" s="378">
        <v>1858450.2</v>
      </c>
      <c r="O46" s="378">
        <v>1171539.0599999998</v>
      </c>
      <c r="P46" s="378">
        <v>1357549.6400000001</v>
      </c>
      <c r="Q46" s="378">
        <v>1527600</v>
      </c>
      <c r="R46" s="378">
        <v>1620468.5367526957</v>
      </c>
    </row>
    <row r="47" spans="1:18" hidden="1" x14ac:dyDescent="0.2">
      <c r="A47" s="358" t="s">
        <v>263</v>
      </c>
      <c r="B47" s="359"/>
      <c r="C47" s="359"/>
      <c r="D47" s="359"/>
      <c r="E47" s="359"/>
      <c r="F47" s="359"/>
      <c r="H47" s="359">
        <f t="shared" si="0"/>
        <v>0</v>
      </c>
      <c r="I47" s="359">
        <f t="shared" si="0"/>
        <v>0</v>
      </c>
      <c r="J47" s="359">
        <f t="shared" si="0"/>
        <v>0</v>
      </c>
      <c r="K47" s="359">
        <f t="shared" si="0"/>
        <v>0</v>
      </c>
      <c r="L47" s="359">
        <f t="shared" si="0"/>
        <v>0</v>
      </c>
      <c r="N47" s="378"/>
      <c r="O47" s="378"/>
      <c r="P47" s="378"/>
      <c r="Q47" s="378"/>
      <c r="R47" s="378"/>
    </row>
    <row r="48" spans="1:18" x14ac:dyDescent="0.2">
      <c r="A48" s="355" t="s">
        <v>264</v>
      </c>
      <c r="B48" s="359">
        <f t="shared" ref="B48:F56" si="4">+B14*B32</f>
        <v>254775.4</v>
      </c>
      <c r="C48" s="359">
        <f t="shared" si="4"/>
        <v>140934.39999999999</v>
      </c>
      <c r="D48" s="359">
        <f t="shared" si="4"/>
        <v>73628.459999999977</v>
      </c>
      <c r="E48" s="359">
        <f t="shared" si="4"/>
        <v>169033.85643659133</v>
      </c>
      <c r="F48" s="359">
        <f t="shared" si="4"/>
        <v>200635.13662993602</v>
      </c>
      <c r="H48" s="359">
        <f t="shared" si="0"/>
        <v>0</v>
      </c>
      <c r="I48" s="359">
        <f t="shared" si="0"/>
        <v>0</v>
      </c>
      <c r="J48" s="359">
        <f t="shared" si="0"/>
        <v>0</v>
      </c>
      <c r="K48" s="359">
        <f t="shared" si="0"/>
        <v>59929.356436591333</v>
      </c>
      <c r="L48" s="359">
        <f t="shared" si="0"/>
        <v>40449.088000000018</v>
      </c>
      <c r="N48" s="378">
        <v>254775.4</v>
      </c>
      <c r="O48" s="378">
        <v>140934.39999999999</v>
      </c>
      <c r="P48" s="378">
        <v>73628.459999999977</v>
      </c>
      <c r="Q48" s="378">
        <v>109104.5</v>
      </c>
      <c r="R48" s="378">
        <v>160186.04862993601</v>
      </c>
    </row>
    <row r="49" spans="1:18" x14ac:dyDescent="0.2">
      <c r="A49" s="355" t="s">
        <v>265</v>
      </c>
      <c r="B49" s="359">
        <f t="shared" si="4"/>
        <v>2771698.7</v>
      </c>
      <c r="C49" s="359">
        <f t="shared" si="4"/>
        <v>2248359.9500000002</v>
      </c>
      <c r="D49" s="359">
        <f t="shared" si="4"/>
        <v>2454036.7400000002</v>
      </c>
      <c r="E49" s="359">
        <f t="shared" si="4"/>
        <v>2198032.79387085</v>
      </c>
      <c r="F49" s="359">
        <f t="shared" si="4"/>
        <v>2754870.4050681614</v>
      </c>
      <c r="H49" s="359">
        <f t="shared" si="0"/>
        <v>0</v>
      </c>
      <c r="I49" s="359">
        <f t="shared" si="0"/>
        <v>0</v>
      </c>
      <c r="J49" s="359">
        <f t="shared" si="0"/>
        <v>0</v>
      </c>
      <c r="K49" s="359">
        <f t="shared" si="0"/>
        <v>-419094.0909439032</v>
      </c>
      <c r="L49" s="359">
        <f t="shared" si="0"/>
        <v>81766.84687904641</v>
      </c>
      <c r="N49" s="378">
        <v>2771698.7</v>
      </c>
      <c r="O49" s="378">
        <v>2248359.9500000002</v>
      </c>
      <c r="P49" s="378">
        <v>2454036.7400000002</v>
      </c>
      <c r="Q49" s="378">
        <v>2617126.8848147532</v>
      </c>
      <c r="R49" s="378">
        <v>2673103.558189115</v>
      </c>
    </row>
    <row r="50" spans="1:18" x14ac:dyDescent="0.2">
      <c r="A50" s="355" t="s">
        <v>266</v>
      </c>
      <c r="B50" s="359">
        <f t="shared" ref="B50:C56" si="5">+B16*B34</f>
        <v>1058408.76</v>
      </c>
      <c r="C50" s="359">
        <f t="shared" si="5"/>
        <v>948204.14</v>
      </c>
      <c r="D50" s="359">
        <f t="shared" si="4"/>
        <v>722393.62</v>
      </c>
      <c r="E50" s="359">
        <f t="shared" si="4"/>
        <v>561050.05261943559</v>
      </c>
      <c r="F50" s="359">
        <f t="shared" si="4"/>
        <v>916592.90524730796</v>
      </c>
      <c r="H50" s="359">
        <f t="shared" si="0"/>
        <v>0</v>
      </c>
      <c r="I50" s="359">
        <f t="shared" si="0"/>
        <v>0</v>
      </c>
      <c r="J50" s="359">
        <f t="shared" si="0"/>
        <v>0</v>
      </c>
      <c r="K50" s="359">
        <f t="shared" si="0"/>
        <v>-149.94738056440838</v>
      </c>
      <c r="L50" s="359">
        <f t="shared" si="0"/>
        <v>51787.631999999983</v>
      </c>
      <c r="N50" s="378">
        <v>1058408.76</v>
      </c>
      <c r="O50" s="378">
        <v>948204.14</v>
      </c>
      <c r="P50" s="378">
        <v>722393.62</v>
      </c>
      <c r="Q50" s="378">
        <v>561200</v>
      </c>
      <c r="R50" s="378">
        <v>864805.27324730798</v>
      </c>
    </row>
    <row r="51" spans="1:18" x14ac:dyDescent="0.2">
      <c r="A51" s="355" t="s">
        <v>267</v>
      </c>
      <c r="B51" s="359">
        <f t="shared" si="5"/>
        <v>28576.5</v>
      </c>
      <c r="C51" s="359">
        <f t="shared" si="5"/>
        <v>82068.86</v>
      </c>
      <c r="D51" s="359">
        <f t="shared" si="4"/>
        <v>74071.289999999994</v>
      </c>
      <c r="E51" s="359">
        <f>E17*E35</f>
        <v>98657.711459577316</v>
      </c>
      <c r="F51" s="359">
        <f>F17*F35</f>
        <v>67430.003871208595</v>
      </c>
      <c r="H51" s="359">
        <f t="shared" si="0"/>
        <v>0</v>
      </c>
      <c r="I51" s="359">
        <f t="shared" si="0"/>
        <v>0</v>
      </c>
      <c r="J51" s="359">
        <f t="shared" si="0"/>
        <v>0</v>
      </c>
      <c r="K51" s="359">
        <f t="shared" si="0"/>
        <v>1697.7114595773164</v>
      </c>
      <c r="L51" s="359">
        <f t="shared" si="0"/>
        <v>-8243.4000000000087</v>
      </c>
      <c r="N51" s="378">
        <v>28576.5</v>
      </c>
      <c r="O51" s="378">
        <v>82068.86</v>
      </c>
      <c r="P51" s="378">
        <v>74071.289999999994</v>
      </c>
      <c r="Q51" s="378">
        <v>96960</v>
      </c>
      <c r="R51" s="378">
        <v>75673.403871208604</v>
      </c>
    </row>
    <row r="52" spans="1:18" x14ac:dyDescent="0.2">
      <c r="A52" s="355" t="s">
        <v>268</v>
      </c>
      <c r="B52" s="359">
        <f t="shared" si="5"/>
        <v>106202</v>
      </c>
      <c r="C52" s="359">
        <f t="shared" si="5"/>
        <v>110548.3</v>
      </c>
      <c r="D52" s="359">
        <f t="shared" si="4"/>
        <v>76846.319999999992</v>
      </c>
      <c r="E52" s="359">
        <f t="shared" si="4"/>
        <v>78975</v>
      </c>
      <c r="F52" s="359">
        <f t="shared" si="4"/>
        <v>80777.765394339163</v>
      </c>
      <c r="H52" s="359">
        <f t="shared" si="0"/>
        <v>0</v>
      </c>
      <c r="I52" s="359">
        <f t="shared" si="0"/>
        <v>0</v>
      </c>
      <c r="J52" s="359">
        <f t="shared" si="0"/>
        <v>0</v>
      </c>
      <c r="K52" s="359">
        <f t="shared" si="0"/>
        <v>3968.25</v>
      </c>
      <c r="L52" s="359">
        <f t="shared" si="0"/>
        <v>-5264</v>
      </c>
      <c r="N52" s="378">
        <v>106202</v>
      </c>
      <c r="O52" s="378">
        <v>110548.3</v>
      </c>
      <c r="P52" s="378">
        <v>76846.319999999992</v>
      </c>
      <c r="Q52" s="378">
        <v>75006.75</v>
      </c>
      <c r="R52" s="378">
        <v>86041.765394339163</v>
      </c>
    </row>
    <row r="53" spans="1:18" x14ac:dyDescent="0.2">
      <c r="A53" s="355" t="s">
        <v>269</v>
      </c>
      <c r="B53" s="359">
        <f t="shared" si="5"/>
        <v>99914.790000000008</v>
      </c>
      <c r="C53" s="359">
        <f t="shared" si="5"/>
        <v>91454.98</v>
      </c>
      <c r="D53" s="359">
        <f t="shared" si="4"/>
        <v>70005.319999999992</v>
      </c>
      <c r="E53" s="359">
        <f t="shared" si="4"/>
        <v>71400</v>
      </c>
      <c r="F53" s="359">
        <f t="shared" si="4"/>
        <v>73528.046448014618</v>
      </c>
      <c r="H53" s="359">
        <f t="shared" si="0"/>
        <v>0</v>
      </c>
      <c r="I53" s="359">
        <f t="shared" si="0"/>
        <v>0</v>
      </c>
      <c r="J53" s="359">
        <f t="shared" si="0"/>
        <v>0</v>
      </c>
      <c r="K53" s="359">
        <f t="shared" si="0"/>
        <v>3528</v>
      </c>
      <c r="L53" s="359">
        <f t="shared" si="0"/>
        <v>-4917.25</v>
      </c>
      <c r="N53" s="378">
        <v>99914.790000000008</v>
      </c>
      <c r="O53" s="378">
        <v>91454.98</v>
      </c>
      <c r="P53" s="378">
        <v>70005.319999999992</v>
      </c>
      <c r="Q53" s="378">
        <v>67872</v>
      </c>
      <c r="R53" s="378">
        <v>78445.296448014618</v>
      </c>
    </row>
    <row r="54" spans="1:18" x14ac:dyDescent="0.2">
      <c r="A54" s="355" t="s">
        <v>270</v>
      </c>
      <c r="B54" s="359">
        <f t="shared" si="5"/>
        <v>55330.679999999993</v>
      </c>
      <c r="C54" s="359">
        <f t="shared" si="5"/>
        <v>46723.6</v>
      </c>
      <c r="D54" s="359">
        <f t="shared" si="4"/>
        <v>43374.89</v>
      </c>
      <c r="E54" s="359">
        <f t="shared" si="4"/>
        <v>55679.496769806203</v>
      </c>
      <c r="F54" s="359">
        <f t="shared" si="4"/>
        <v>46528.155654018075</v>
      </c>
      <c r="H54" s="359">
        <f t="shared" si="0"/>
        <v>0</v>
      </c>
      <c r="I54" s="359">
        <f t="shared" si="0"/>
        <v>0</v>
      </c>
      <c r="J54" s="359">
        <f t="shared" si="0"/>
        <v>0</v>
      </c>
      <c r="K54" s="359">
        <f t="shared" si="0"/>
        <v>12397.496769806203</v>
      </c>
      <c r="L54" s="359">
        <f t="shared" si="0"/>
        <v>-3217.2599999999948</v>
      </c>
      <c r="N54" s="378">
        <v>55330.679999999993</v>
      </c>
      <c r="O54" s="378">
        <v>46723.6</v>
      </c>
      <c r="P54" s="378">
        <v>43374.89</v>
      </c>
      <c r="Q54" s="378">
        <v>43282</v>
      </c>
      <c r="R54" s="378">
        <v>49745.41565401807</v>
      </c>
    </row>
    <row r="55" spans="1:18" x14ac:dyDescent="0.2">
      <c r="A55" s="355" t="s">
        <v>271</v>
      </c>
      <c r="B55" s="359">
        <f t="shared" si="5"/>
        <v>2976671.8973095287</v>
      </c>
      <c r="C55" s="359">
        <f t="shared" si="5"/>
        <v>2544851.54</v>
      </c>
      <c r="D55" s="359">
        <f t="shared" si="4"/>
        <v>2859086.49</v>
      </c>
      <c r="E55" s="359">
        <f t="shared" si="4"/>
        <v>2887015.5629710453</v>
      </c>
      <c r="F55" s="359">
        <f t="shared" si="4"/>
        <v>2809166.2270614253</v>
      </c>
      <c r="H55" s="359">
        <f t="shared" si="0"/>
        <v>0</v>
      </c>
      <c r="I55" s="359">
        <f t="shared" si="0"/>
        <v>0</v>
      </c>
      <c r="J55" s="359">
        <f t="shared" si="0"/>
        <v>0</v>
      </c>
      <c r="K55" s="359">
        <f t="shared" si="0"/>
        <v>108308.56297104526</v>
      </c>
      <c r="L55" s="359">
        <f t="shared" si="0"/>
        <v>-8404.6599999996834</v>
      </c>
      <c r="N55" s="378">
        <v>2976671.8973095287</v>
      </c>
      <c r="O55" s="378">
        <v>2544851.54</v>
      </c>
      <c r="P55" s="378">
        <v>2859086.49</v>
      </c>
      <c r="Q55" s="378">
        <v>2778707</v>
      </c>
      <c r="R55" s="378">
        <v>2817570.887061425</v>
      </c>
    </row>
    <row r="56" spans="1:18" x14ac:dyDescent="0.2">
      <c r="A56" s="355" t="s">
        <v>272</v>
      </c>
      <c r="B56" s="359">
        <f t="shared" si="5"/>
        <v>148388.87885163751</v>
      </c>
      <c r="C56" s="359">
        <f t="shared" si="5"/>
        <v>108912.28</v>
      </c>
      <c r="D56" s="359">
        <f t="shared" si="4"/>
        <v>171640.61000000002</v>
      </c>
      <c r="E56" s="359">
        <f t="shared" si="4"/>
        <v>207198.19510098838</v>
      </c>
      <c r="F56" s="359">
        <f t="shared" si="4"/>
        <v>172709.27643385812</v>
      </c>
      <c r="H56" s="359">
        <f t="shared" si="0"/>
        <v>0</v>
      </c>
      <c r="I56" s="359">
        <f t="shared" si="0"/>
        <v>0</v>
      </c>
      <c r="J56" s="359">
        <f t="shared" si="0"/>
        <v>0</v>
      </c>
      <c r="K56" s="359">
        <f t="shared" si="0"/>
        <v>37798.195100988378</v>
      </c>
      <c r="L56" s="359">
        <f t="shared" si="0"/>
        <v>-118.90000000005239</v>
      </c>
      <c r="N56" s="378">
        <v>148388.87885163751</v>
      </c>
      <c r="O56" s="378">
        <v>108912.28</v>
      </c>
      <c r="P56" s="378">
        <v>171640.61000000002</v>
      </c>
      <c r="Q56" s="378">
        <v>169400</v>
      </c>
      <c r="R56" s="378">
        <v>172828.17643385817</v>
      </c>
    </row>
    <row r="57" spans="1:18" ht="5.0999999999999996" customHeight="1" x14ac:dyDescent="0.2">
      <c r="A57" s="379"/>
      <c r="B57" s="380"/>
      <c r="C57" s="380"/>
      <c r="D57" s="380"/>
      <c r="E57" s="380"/>
      <c r="F57" s="380"/>
      <c r="H57" s="380"/>
      <c r="I57" s="380"/>
      <c r="J57" s="380"/>
      <c r="K57" s="380"/>
      <c r="L57" s="380"/>
      <c r="N57" s="380"/>
      <c r="O57" s="380"/>
      <c r="P57" s="380"/>
      <c r="Q57" s="380"/>
      <c r="R57" s="380"/>
    </row>
    <row r="58" spans="1:18" x14ac:dyDescent="0.2">
      <c r="A58" s="381" t="s">
        <v>274</v>
      </c>
      <c r="B58" s="382">
        <f t="shared" ref="B58:F58" si="6">SUM(B42:B57)</f>
        <v>22914142.256161168</v>
      </c>
      <c r="C58" s="382">
        <f t="shared" si="6"/>
        <v>17831046.650000002</v>
      </c>
      <c r="D58" s="382">
        <f t="shared" si="6"/>
        <v>20146770.359999999</v>
      </c>
      <c r="E58" s="382">
        <f t="shared" si="6"/>
        <v>22973151.035349153</v>
      </c>
      <c r="F58" s="382">
        <f t="shared" si="6"/>
        <v>22241338.892156966</v>
      </c>
      <c r="G58" s="368"/>
      <c r="H58" s="382">
        <f t="shared" si="0"/>
        <v>0</v>
      </c>
      <c r="I58" s="382">
        <f t="shared" si="0"/>
        <v>0</v>
      </c>
      <c r="J58" s="382">
        <f t="shared" si="0"/>
        <v>0</v>
      </c>
      <c r="K58" s="382">
        <f t="shared" si="0"/>
        <v>2751624.4065585025</v>
      </c>
      <c r="L58" s="382">
        <f t="shared" si="0"/>
        <v>921053.1214424856</v>
      </c>
      <c r="N58" s="382">
        <v>22914142.256161168</v>
      </c>
      <c r="O58" s="382">
        <v>17831046.650000002</v>
      </c>
      <c r="P58" s="382">
        <v>20146770.359999999</v>
      </c>
      <c r="Q58" s="382">
        <v>20221526.628790651</v>
      </c>
      <c r="R58" s="382">
        <v>21320285.77071448</v>
      </c>
    </row>
    <row r="59" spans="1:18" ht="20.25" customHeight="1" x14ac:dyDescent="0.2">
      <c r="A59" s="383" t="s">
        <v>275</v>
      </c>
      <c r="B59" s="384"/>
      <c r="C59" s="384"/>
      <c r="D59" s="384"/>
      <c r="E59" s="384"/>
      <c r="F59" s="385"/>
      <c r="H59" s="384"/>
      <c r="I59" s="384"/>
      <c r="J59" s="384"/>
      <c r="K59" s="384"/>
      <c r="L59" s="385"/>
      <c r="N59" s="384" t="s">
        <v>257</v>
      </c>
      <c r="O59" s="384" t="s">
        <v>257</v>
      </c>
      <c r="P59" s="384" t="s">
        <v>257</v>
      </c>
      <c r="Q59" s="384" t="s">
        <v>257</v>
      </c>
      <c r="R59" s="385" t="s">
        <v>257</v>
      </c>
    </row>
    <row r="60" spans="1:18" ht="15" customHeight="1" x14ac:dyDescent="0.2">
      <c r="A60" s="386" t="s">
        <v>257</v>
      </c>
      <c r="B60" s="375"/>
      <c r="C60" s="375"/>
      <c r="D60" s="375"/>
      <c r="E60" s="376"/>
      <c r="F60" s="376"/>
      <c r="H60" s="375"/>
      <c r="I60" s="375"/>
      <c r="J60" s="375"/>
      <c r="K60" s="376"/>
      <c r="L60" s="376"/>
      <c r="N60" s="375"/>
      <c r="O60" s="375"/>
      <c r="P60" s="375"/>
      <c r="Q60" s="376"/>
      <c r="R60" s="376"/>
    </row>
    <row r="61" spans="1:18" ht="15" customHeight="1" x14ac:dyDescent="0.2">
      <c r="A61" s="355" t="s">
        <v>276</v>
      </c>
      <c r="B61" s="360">
        <v>8409.42</v>
      </c>
      <c r="C61" s="360">
        <v>10424</v>
      </c>
      <c r="D61" s="360">
        <v>13189.1705</v>
      </c>
      <c r="E61" s="359">
        <f t="shared" ref="E61:F64" si="7">D61</f>
        <v>13189.1705</v>
      </c>
      <c r="F61" s="359">
        <f t="shared" si="7"/>
        <v>13189.1705</v>
      </c>
      <c r="H61" s="360">
        <f t="shared" si="0"/>
        <v>0</v>
      </c>
      <c r="I61" s="360">
        <f t="shared" si="0"/>
        <v>0</v>
      </c>
      <c r="J61" s="360">
        <f t="shared" si="0"/>
        <v>0</v>
      </c>
      <c r="K61" s="359">
        <f t="shared" si="0"/>
        <v>0</v>
      </c>
      <c r="L61" s="359">
        <f t="shared" si="0"/>
        <v>0</v>
      </c>
      <c r="N61" s="360">
        <v>8409.42</v>
      </c>
      <c r="O61" s="360">
        <v>10424</v>
      </c>
      <c r="P61" s="360">
        <v>13189.1705</v>
      </c>
      <c r="Q61" s="359">
        <v>13189.1705</v>
      </c>
      <c r="R61" s="359">
        <v>13189.1705</v>
      </c>
    </row>
    <row r="62" spans="1:18" x14ac:dyDescent="0.2">
      <c r="A62" s="354" t="s">
        <v>277</v>
      </c>
      <c r="B62" s="359">
        <v>13483.554</v>
      </c>
      <c r="C62" s="359">
        <v>14318</v>
      </c>
      <c r="D62" s="359">
        <v>13324.66</v>
      </c>
      <c r="E62" s="359">
        <f t="shared" si="7"/>
        <v>13324.66</v>
      </c>
      <c r="F62" s="359">
        <f t="shared" si="7"/>
        <v>13324.66</v>
      </c>
      <c r="H62" s="359">
        <f t="shared" si="0"/>
        <v>0</v>
      </c>
      <c r="I62" s="359">
        <f t="shared" si="0"/>
        <v>0</v>
      </c>
      <c r="J62" s="359">
        <f t="shared" si="0"/>
        <v>0</v>
      </c>
      <c r="K62" s="359">
        <f t="shared" si="0"/>
        <v>0</v>
      </c>
      <c r="L62" s="359">
        <f t="shared" si="0"/>
        <v>0</v>
      </c>
      <c r="N62" s="359">
        <v>13483.554</v>
      </c>
      <c r="O62" s="359">
        <v>14318</v>
      </c>
      <c r="P62" s="359">
        <v>13324.66</v>
      </c>
      <c r="Q62" s="359">
        <v>13324.66</v>
      </c>
      <c r="R62" s="359">
        <v>13324.66</v>
      </c>
    </row>
    <row r="63" spans="1:18" x14ac:dyDescent="0.2">
      <c r="A63" s="354" t="s">
        <v>278</v>
      </c>
      <c r="B63" s="359">
        <v>2128.27</v>
      </c>
      <c r="C63" s="359">
        <v>1774</v>
      </c>
      <c r="D63" s="359">
        <v>1686.39</v>
      </c>
      <c r="E63" s="359">
        <f t="shared" si="7"/>
        <v>1686.39</v>
      </c>
      <c r="F63" s="359">
        <f t="shared" si="7"/>
        <v>1686.39</v>
      </c>
      <c r="H63" s="359">
        <f t="shared" si="0"/>
        <v>0</v>
      </c>
      <c r="I63" s="359">
        <f t="shared" si="0"/>
        <v>0</v>
      </c>
      <c r="J63" s="359">
        <f t="shared" si="0"/>
        <v>0</v>
      </c>
      <c r="K63" s="359">
        <f t="shared" si="0"/>
        <v>0</v>
      </c>
      <c r="L63" s="359">
        <f t="shared" si="0"/>
        <v>0</v>
      </c>
      <c r="N63" s="359">
        <v>2128.27</v>
      </c>
      <c r="O63" s="359">
        <v>1774</v>
      </c>
      <c r="P63" s="359">
        <v>1686.39</v>
      </c>
      <c r="Q63" s="359">
        <v>1686.39</v>
      </c>
      <c r="R63" s="359">
        <v>1686.39</v>
      </c>
    </row>
    <row r="64" spans="1:18" x14ac:dyDescent="0.2">
      <c r="A64" s="354" t="s">
        <v>279</v>
      </c>
      <c r="B64" s="359">
        <v>514.21</v>
      </c>
      <c r="C64" s="359">
        <v>513</v>
      </c>
      <c r="D64" s="359">
        <v>450.01000000000005</v>
      </c>
      <c r="E64" s="359">
        <f t="shared" si="7"/>
        <v>450.01000000000005</v>
      </c>
      <c r="F64" s="359">
        <f t="shared" si="7"/>
        <v>450.01000000000005</v>
      </c>
      <c r="H64" s="359">
        <f t="shared" si="0"/>
        <v>0</v>
      </c>
      <c r="I64" s="359">
        <f t="shared" si="0"/>
        <v>0</v>
      </c>
      <c r="J64" s="359">
        <f t="shared" si="0"/>
        <v>0</v>
      </c>
      <c r="K64" s="359">
        <f t="shared" si="0"/>
        <v>0</v>
      </c>
      <c r="L64" s="359">
        <f t="shared" si="0"/>
        <v>0</v>
      </c>
      <c r="N64" s="359">
        <v>514.21</v>
      </c>
      <c r="O64" s="359">
        <v>513</v>
      </c>
      <c r="P64" s="359">
        <v>450.01000000000005</v>
      </c>
      <c r="Q64" s="359">
        <v>450.01000000000005</v>
      </c>
      <c r="R64" s="359">
        <v>450.01000000000005</v>
      </c>
    </row>
    <row r="65" spans="1:18" ht="5.0999999999999996" customHeight="1" x14ac:dyDescent="0.2">
      <c r="A65" s="376"/>
      <c r="B65" s="387"/>
      <c r="C65" s="387"/>
      <c r="D65" s="387"/>
      <c r="E65" s="387"/>
      <c r="F65" s="388"/>
      <c r="H65" s="387"/>
      <c r="I65" s="387"/>
      <c r="J65" s="387"/>
      <c r="K65" s="387"/>
      <c r="L65" s="388"/>
      <c r="N65" s="387"/>
      <c r="O65" s="387"/>
      <c r="P65" s="387"/>
      <c r="Q65" s="387"/>
      <c r="R65" s="388"/>
    </row>
    <row r="66" spans="1:18" ht="12.95" customHeight="1" x14ac:dyDescent="0.2">
      <c r="A66" s="366" t="s">
        <v>204</v>
      </c>
      <c r="B66" s="367">
        <f t="shared" ref="B66:F66" si="8">SUM(B61:B64)</f>
        <v>24535.454000000002</v>
      </c>
      <c r="C66" s="367">
        <f t="shared" si="8"/>
        <v>27029</v>
      </c>
      <c r="D66" s="367">
        <f t="shared" si="8"/>
        <v>28650.230499999998</v>
      </c>
      <c r="E66" s="367">
        <f t="shared" si="8"/>
        <v>28650.230499999998</v>
      </c>
      <c r="F66" s="367">
        <f t="shared" si="8"/>
        <v>28650.230499999998</v>
      </c>
      <c r="G66" s="368"/>
      <c r="H66" s="367">
        <f t="shared" si="0"/>
        <v>0</v>
      </c>
      <c r="I66" s="367">
        <f t="shared" si="0"/>
        <v>0</v>
      </c>
      <c r="J66" s="367">
        <f t="shared" si="0"/>
        <v>0</v>
      </c>
      <c r="K66" s="367">
        <f t="shared" si="0"/>
        <v>0</v>
      </c>
      <c r="L66" s="367">
        <f t="shared" si="0"/>
        <v>0</v>
      </c>
      <c r="N66" s="367">
        <v>24535.454000000002</v>
      </c>
      <c r="O66" s="367">
        <v>27029</v>
      </c>
      <c r="P66" s="367">
        <v>28650.230499999998</v>
      </c>
      <c r="Q66" s="367">
        <v>28650.230499999998</v>
      </c>
      <c r="R66" s="367">
        <v>28650.230499999998</v>
      </c>
    </row>
    <row r="67" spans="1:18" ht="15" customHeight="1" x14ac:dyDescent="0.2">
      <c r="A67" s="386" t="s">
        <v>273</v>
      </c>
      <c r="B67" s="375"/>
      <c r="C67" s="375"/>
      <c r="D67" s="375"/>
      <c r="E67" s="376"/>
      <c r="F67" s="376"/>
      <c r="H67" s="375"/>
      <c r="I67" s="375"/>
      <c r="J67" s="375"/>
      <c r="K67" s="376"/>
      <c r="L67" s="376"/>
      <c r="N67" s="375"/>
      <c r="O67" s="375"/>
      <c r="P67" s="375"/>
      <c r="Q67" s="376"/>
      <c r="R67" s="376"/>
    </row>
    <row r="68" spans="1:18" ht="15" customHeight="1" x14ac:dyDescent="0.2">
      <c r="A68" s="355" t="s">
        <v>276</v>
      </c>
      <c r="B68" s="389">
        <v>189.84374070982304</v>
      </c>
      <c r="C68" s="389">
        <v>118.48</v>
      </c>
      <c r="D68" s="389">
        <v>52.160329567352242</v>
      </c>
      <c r="E68" s="389">
        <v>67.81916465463523</v>
      </c>
      <c r="F68" s="389">
        <v>157.27681405543507</v>
      </c>
      <c r="H68" s="389">
        <f t="shared" ref="H68:L82" si="9">IFERROR(B68-N68,"")</f>
        <v>0</v>
      </c>
      <c r="I68" s="389">
        <f t="shared" si="9"/>
        <v>0</v>
      </c>
      <c r="J68" s="389">
        <f t="shared" si="9"/>
        <v>0</v>
      </c>
      <c r="K68" s="389">
        <f t="shared" si="9"/>
        <v>-2.5708353453647703</v>
      </c>
      <c r="L68" s="389">
        <f t="shared" si="9"/>
        <v>32.344000000000023</v>
      </c>
      <c r="N68" s="389">
        <v>189.84374070982304</v>
      </c>
      <c r="O68" s="389">
        <v>118.48</v>
      </c>
      <c r="P68" s="389">
        <v>52.160329567352242</v>
      </c>
      <c r="Q68" s="389">
        <v>70.39</v>
      </c>
      <c r="R68" s="389">
        <v>124.93281405543505</v>
      </c>
    </row>
    <row r="69" spans="1:18" x14ac:dyDescent="0.2">
      <c r="A69" s="354" t="s">
        <v>277</v>
      </c>
      <c r="B69" s="390">
        <v>20.456147540922817</v>
      </c>
      <c r="C69" s="390">
        <v>19.86</v>
      </c>
      <c r="D69" s="390">
        <v>16.247458471735865</v>
      </c>
      <c r="E69" s="391">
        <v>7.5883128539543607</v>
      </c>
      <c r="F69" s="391">
        <v>18.87271120253174</v>
      </c>
      <c r="H69" s="390">
        <f t="shared" si="9"/>
        <v>0</v>
      </c>
      <c r="I69" s="390">
        <f t="shared" si="9"/>
        <v>0</v>
      </c>
      <c r="J69" s="390">
        <f t="shared" si="9"/>
        <v>0</v>
      </c>
      <c r="K69" s="391">
        <f t="shared" si="9"/>
        <v>-6.4116871460456393</v>
      </c>
      <c r="L69" s="391">
        <f t="shared" si="9"/>
        <v>0.83999000000000024</v>
      </c>
      <c r="N69" s="390">
        <v>20.456147540922817</v>
      </c>
      <c r="O69" s="390">
        <v>19.86</v>
      </c>
      <c r="P69" s="390">
        <v>16.247458471735865</v>
      </c>
      <c r="Q69" s="391">
        <v>14</v>
      </c>
      <c r="R69" s="391">
        <v>18.032721202531739</v>
      </c>
    </row>
    <row r="70" spans="1:18" x14ac:dyDescent="0.2">
      <c r="A70" s="354" t="s">
        <v>278</v>
      </c>
      <c r="B70" s="390">
        <v>176.31600548802552</v>
      </c>
      <c r="C70" s="390">
        <v>201.57</v>
      </c>
      <c r="D70" s="390">
        <v>141.07120535581925</v>
      </c>
      <c r="E70" s="391">
        <v>137.81002373194966</v>
      </c>
      <c r="F70" s="391">
        <v>155.94344216876897</v>
      </c>
      <c r="H70" s="390">
        <f t="shared" si="9"/>
        <v>0</v>
      </c>
      <c r="I70" s="390">
        <f t="shared" si="9"/>
        <v>0</v>
      </c>
      <c r="J70" s="390">
        <f t="shared" si="9"/>
        <v>0</v>
      </c>
      <c r="K70" s="391">
        <f t="shared" si="9"/>
        <v>-12.269976268050357</v>
      </c>
      <c r="L70" s="391">
        <f t="shared" si="9"/>
        <v>-2.4900000000000091</v>
      </c>
      <c r="N70" s="390">
        <v>176.31600548802552</v>
      </c>
      <c r="O70" s="390">
        <v>201.57</v>
      </c>
      <c r="P70" s="390">
        <v>141.07120535581925</v>
      </c>
      <c r="Q70" s="391">
        <v>150.08000000000001</v>
      </c>
      <c r="R70" s="391">
        <v>158.43344216876898</v>
      </c>
    </row>
    <row r="71" spans="1:18" x14ac:dyDescent="0.2">
      <c r="A71" s="354" t="s">
        <v>280</v>
      </c>
      <c r="B71" s="390">
        <v>302.94241652243244</v>
      </c>
      <c r="C71" s="390">
        <v>222.29</v>
      </c>
      <c r="D71" s="390">
        <v>145.17710717539609</v>
      </c>
      <c r="E71" s="391">
        <v>106.19975696391849</v>
      </c>
      <c r="F71" s="391">
        <v>270.56930473956567</v>
      </c>
      <c r="H71" s="390">
        <f t="shared" si="9"/>
        <v>0</v>
      </c>
      <c r="I71" s="390">
        <f t="shared" si="9"/>
        <v>0</v>
      </c>
      <c r="J71" s="390">
        <f t="shared" si="9"/>
        <v>0</v>
      </c>
      <c r="K71" s="391">
        <f t="shared" si="9"/>
        <v>-89.460243036081508</v>
      </c>
      <c r="L71" s="391">
        <f t="shared" si="9"/>
        <v>28.187399999999968</v>
      </c>
      <c r="N71" s="390">
        <v>302.94241652243244</v>
      </c>
      <c r="O71" s="390">
        <v>222.29</v>
      </c>
      <c r="P71" s="390">
        <v>145.17710717539609</v>
      </c>
      <c r="Q71" s="391">
        <v>195.66</v>
      </c>
      <c r="R71" s="391">
        <v>242.3819047395657</v>
      </c>
    </row>
    <row r="72" spans="1:18" ht="18" customHeight="1" x14ac:dyDescent="0.2">
      <c r="A72" s="375" t="s">
        <v>84</v>
      </c>
      <c r="B72" s="375"/>
      <c r="C72" s="375"/>
      <c r="D72" s="375"/>
      <c r="E72" s="376"/>
      <c r="F72" s="392"/>
      <c r="H72" s="375"/>
      <c r="I72" s="375"/>
      <c r="J72" s="375"/>
      <c r="K72" s="376"/>
      <c r="L72" s="392"/>
      <c r="N72" s="375"/>
      <c r="O72" s="375"/>
      <c r="P72" s="375"/>
      <c r="Q72" s="376"/>
      <c r="R72" s="392"/>
    </row>
    <row r="73" spans="1:18" ht="15" customHeight="1" x14ac:dyDescent="0.2">
      <c r="A73" s="393" t="s">
        <v>276</v>
      </c>
      <c r="B73" s="377">
        <f t="shared" ref="B73:F76" si="10">B61*B68</f>
        <v>1596475.75</v>
      </c>
      <c r="C73" s="377">
        <f t="shared" si="10"/>
        <v>1235035.52</v>
      </c>
      <c r="D73" s="377">
        <f t="shared" si="10"/>
        <v>687951.48</v>
      </c>
      <c r="E73" s="377">
        <f t="shared" si="10"/>
        <v>894478.52579755767</v>
      </c>
      <c r="F73" s="377">
        <f t="shared" si="10"/>
        <v>2074350.7162739297</v>
      </c>
      <c r="H73" s="377">
        <f t="shared" si="9"/>
        <v>0</v>
      </c>
      <c r="I73" s="377">
        <f t="shared" si="9"/>
        <v>0</v>
      </c>
      <c r="J73" s="377">
        <f t="shared" si="9"/>
        <v>0</v>
      </c>
      <c r="K73" s="377">
        <f t="shared" si="9"/>
        <v>-33907.185697442386</v>
      </c>
      <c r="L73" s="377">
        <f t="shared" si="9"/>
        <v>426590.53065200034</v>
      </c>
      <c r="N73" s="377">
        <v>1596475.75</v>
      </c>
      <c r="O73" s="377">
        <v>1235035.52</v>
      </c>
      <c r="P73" s="377">
        <v>687951.48</v>
      </c>
      <c r="Q73" s="377">
        <v>928385.71149500005</v>
      </c>
      <c r="R73" s="377">
        <v>1647760.1856219294</v>
      </c>
    </row>
    <row r="74" spans="1:18" x14ac:dyDescent="0.2">
      <c r="A74" s="394" t="s">
        <v>277</v>
      </c>
      <c r="B74" s="359">
        <f t="shared" si="10"/>
        <v>275821.57</v>
      </c>
      <c r="C74" s="359">
        <f t="shared" si="10"/>
        <v>284355.48</v>
      </c>
      <c r="D74" s="359">
        <f t="shared" si="10"/>
        <v>216491.86000000002</v>
      </c>
      <c r="E74" s="359">
        <f t="shared" si="10"/>
        <v>101111.68875257151</v>
      </c>
      <c r="F74" s="359">
        <f t="shared" si="10"/>
        <v>251472.46005192658</v>
      </c>
      <c r="H74" s="359">
        <f t="shared" si="9"/>
        <v>0</v>
      </c>
      <c r="I74" s="359">
        <f t="shared" si="9"/>
        <v>0</v>
      </c>
      <c r="J74" s="359">
        <f t="shared" si="9"/>
        <v>0</v>
      </c>
      <c r="K74" s="359">
        <f t="shared" si="9"/>
        <v>-85433.551247428477</v>
      </c>
      <c r="L74" s="359">
        <f t="shared" si="9"/>
        <v>11192.581153400009</v>
      </c>
      <c r="N74" s="359">
        <v>275821.57</v>
      </c>
      <c r="O74" s="359">
        <v>284355.48</v>
      </c>
      <c r="P74" s="359">
        <v>216491.86000000002</v>
      </c>
      <c r="Q74" s="359">
        <v>186545.24</v>
      </c>
      <c r="R74" s="359">
        <v>240279.87889852657</v>
      </c>
    </row>
    <row r="75" spans="1:18" x14ac:dyDescent="0.2">
      <c r="A75" s="394" t="s">
        <v>278</v>
      </c>
      <c r="B75" s="359">
        <f t="shared" si="10"/>
        <v>375248.06500000006</v>
      </c>
      <c r="C75" s="359">
        <f t="shared" si="10"/>
        <v>357585.18</v>
      </c>
      <c r="D75" s="359">
        <f t="shared" si="10"/>
        <v>237901.07000000004</v>
      </c>
      <c r="E75" s="359">
        <f t="shared" si="10"/>
        <v>232401.44592132259</v>
      </c>
      <c r="F75" s="359">
        <f t="shared" si="10"/>
        <v>262981.46143899031</v>
      </c>
      <c r="H75" s="359">
        <f t="shared" si="9"/>
        <v>0</v>
      </c>
      <c r="I75" s="359">
        <f t="shared" si="9"/>
        <v>0</v>
      </c>
      <c r="J75" s="359">
        <f t="shared" si="9"/>
        <v>0</v>
      </c>
      <c r="K75" s="359">
        <f t="shared" si="9"/>
        <v>-20691.965278677439</v>
      </c>
      <c r="L75" s="359">
        <f t="shared" si="9"/>
        <v>-4199.1111000000383</v>
      </c>
      <c r="N75" s="359">
        <v>375248.06500000006</v>
      </c>
      <c r="O75" s="359">
        <v>357585.18</v>
      </c>
      <c r="P75" s="359">
        <v>237901.07000000004</v>
      </c>
      <c r="Q75" s="359">
        <v>253093.41120000003</v>
      </c>
      <c r="R75" s="359">
        <v>267180.57253899035</v>
      </c>
    </row>
    <row r="76" spans="1:18" x14ac:dyDescent="0.2">
      <c r="A76" s="394" t="s">
        <v>280</v>
      </c>
      <c r="B76" s="359">
        <f t="shared" si="10"/>
        <v>155776.01999999999</v>
      </c>
      <c r="C76" s="359">
        <f t="shared" si="10"/>
        <v>114034.76999999999</v>
      </c>
      <c r="D76" s="359">
        <f t="shared" si="10"/>
        <v>65331.15</v>
      </c>
      <c r="E76" s="359">
        <f t="shared" si="10"/>
        <v>47790.952631332962</v>
      </c>
      <c r="F76" s="359">
        <f t="shared" si="10"/>
        <v>121758.89282585196</v>
      </c>
      <c r="H76" s="359">
        <f t="shared" si="9"/>
        <v>0</v>
      </c>
      <c r="I76" s="359">
        <f t="shared" si="9"/>
        <v>0</v>
      </c>
      <c r="J76" s="359">
        <f t="shared" si="9"/>
        <v>0</v>
      </c>
      <c r="K76" s="359">
        <f t="shared" si="9"/>
        <v>-40258.003968667042</v>
      </c>
      <c r="L76" s="359">
        <f t="shared" si="9"/>
        <v>12684.611873999995</v>
      </c>
      <c r="N76" s="359">
        <v>155776.01999999999</v>
      </c>
      <c r="O76" s="359">
        <v>114034.76999999999</v>
      </c>
      <c r="P76" s="359">
        <v>65331.15</v>
      </c>
      <c r="Q76" s="359">
        <v>88048.956600000005</v>
      </c>
      <c r="R76" s="359">
        <v>109074.28095185196</v>
      </c>
    </row>
    <row r="77" spans="1:18" ht="5.0999999999999996" customHeight="1" x14ac:dyDescent="0.2">
      <c r="A77" s="395"/>
      <c r="B77" s="396"/>
      <c r="C77" s="396"/>
      <c r="D77" s="396"/>
      <c r="E77" s="396"/>
      <c r="F77" s="396"/>
      <c r="H77" s="396"/>
      <c r="I77" s="396"/>
      <c r="J77" s="396"/>
      <c r="K77" s="396"/>
      <c r="L77" s="396"/>
      <c r="N77" s="396"/>
      <c r="O77" s="396"/>
      <c r="P77" s="396"/>
      <c r="Q77" s="396"/>
      <c r="R77" s="396"/>
    </row>
    <row r="78" spans="1:18" ht="15" customHeight="1" x14ac:dyDescent="0.2">
      <c r="A78" s="397" t="s">
        <v>274</v>
      </c>
      <c r="B78" s="398">
        <f t="shared" ref="B78:F78" si="11">SUM(B73:B76)</f>
        <v>2403321.4050000003</v>
      </c>
      <c r="C78" s="398">
        <f t="shared" si="11"/>
        <v>1991010.95</v>
      </c>
      <c r="D78" s="398">
        <f t="shared" si="11"/>
        <v>1207675.5599999998</v>
      </c>
      <c r="E78" s="398">
        <f t="shared" si="11"/>
        <v>1275782.6131027846</v>
      </c>
      <c r="F78" s="398">
        <f t="shared" si="11"/>
        <v>2710563.5305906986</v>
      </c>
      <c r="H78" s="398">
        <f t="shared" si="9"/>
        <v>0</v>
      </c>
      <c r="I78" s="398">
        <f t="shared" si="9"/>
        <v>0</v>
      </c>
      <c r="J78" s="398">
        <f t="shared" si="9"/>
        <v>0</v>
      </c>
      <c r="K78" s="398">
        <f t="shared" si="9"/>
        <v>-180290.70619221544</v>
      </c>
      <c r="L78" s="398">
        <f t="shared" si="9"/>
        <v>446268.61257940019</v>
      </c>
      <c r="N78" s="398">
        <v>2403321.4050000003</v>
      </c>
      <c r="O78" s="398">
        <v>1991010.95</v>
      </c>
      <c r="P78" s="398">
        <v>1207675.5599999998</v>
      </c>
      <c r="Q78" s="398">
        <v>1456073.3192950001</v>
      </c>
      <c r="R78" s="398">
        <v>2264294.9180112984</v>
      </c>
    </row>
    <row r="79" spans="1:18" ht="18" customHeight="1" x14ac:dyDescent="0.2">
      <c r="A79" s="399" t="s">
        <v>281</v>
      </c>
      <c r="B79" s="400">
        <v>1907844</v>
      </c>
      <c r="C79" s="400">
        <v>1685168</v>
      </c>
      <c r="D79" s="400">
        <v>1448480.67</v>
      </c>
      <c r="E79" s="400">
        <v>705600</v>
      </c>
      <c r="F79" s="400">
        <f>+E79</f>
        <v>705600</v>
      </c>
      <c r="G79" s="107"/>
      <c r="H79" s="400">
        <f t="shared" si="9"/>
        <v>0</v>
      </c>
      <c r="I79" s="400">
        <f t="shared" si="9"/>
        <v>0</v>
      </c>
      <c r="J79" s="400">
        <f t="shared" si="9"/>
        <v>0</v>
      </c>
      <c r="K79" s="400">
        <f t="shared" si="9"/>
        <v>0</v>
      </c>
      <c r="L79" s="400">
        <f t="shared" si="9"/>
        <v>0</v>
      </c>
      <c r="N79" s="400">
        <v>1907844</v>
      </c>
      <c r="O79" s="400">
        <v>1685168</v>
      </c>
      <c r="P79" s="400">
        <v>1448480.67</v>
      </c>
      <c r="Q79" s="400">
        <v>705600</v>
      </c>
      <c r="R79" s="400">
        <v>705600</v>
      </c>
    </row>
    <row r="80" spans="1:18" ht="18" customHeight="1" x14ac:dyDescent="0.2">
      <c r="A80" s="399" t="s">
        <v>282</v>
      </c>
      <c r="B80" s="400">
        <v>0</v>
      </c>
      <c r="C80" s="400">
        <v>0</v>
      </c>
      <c r="D80" s="400">
        <v>0</v>
      </c>
      <c r="E80" s="400">
        <v>0</v>
      </c>
      <c r="F80" s="400">
        <v>0</v>
      </c>
      <c r="G80" s="107"/>
      <c r="H80" s="400">
        <f t="shared" si="9"/>
        <v>0</v>
      </c>
      <c r="I80" s="400">
        <f t="shared" si="9"/>
        <v>0</v>
      </c>
      <c r="J80" s="400">
        <f t="shared" si="9"/>
        <v>0</v>
      </c>
      <c r="K80" s="400">
        <f t="shared" si="9"/>
        <v>0</v>
      </c>
      <c r="L80" s="400">
        <f t="shared" si="9"/>
        <v>0</v>
      </c>
      <c r="N80" s="400">
        <v>0</v>
      </c>
      <c r="O80" s="400">
        <v>0</v>
      </c>
      <c r="P80" s="400">
        <v>0</v>
      </c>
      <c r="Q80" s="400">
        <v>0</v>
      </c>
      <c r="R80" s="400">
        <v>0</v>
      </c>
    </row>
    <row r="81" spans="1:18" x14ac:dyDescent="0.2">
      <c r="A81" s="176"/>
      <c r="B81" s="176"/>
      <c r="C81" s="176"/>
      <c r="D81" s="176"/>
      <c r="E81" s="176"/>
      <c r="F81" s="401"/>
      <c r="H81" s="176"/>
      <c r="I81" s="176"/>
      <c r="J81" s="176"/>
      <c r="K81" s="176"/>
      <c r="L81" s="401"/>
      <c r="N81" s="176"/>
      <c r="O81" s="176"/>
      <c r="P81" s="176"/>
      <c r="Q81" s="176"/>
      <c r="R81" s="401"/>
    </row>
    <row r="82" spans="1:18" ht="18" customHeight="1" x14ac:dyDescent="0.2">
      <c r="A82" s="402" t="s">
        <v>283</v>
      </c>
      <c r="B82" s="403">
        <f t="shared" ref="B82:D82" si="12">+B58+B78+B79+B80</f>
        <v>27225307.661161169</v>
      </c>
      <c r="C82" s="403">
        <f t="shared" si="12"/>
        <v>21507225.600000001</v>
      </c>
      <c r="D82" s="403">
        <f t="shared" si="12"/>
        <v>22802926.589999996</v>
      </c>
      <c r="E82" s="403">
        <f>+E58+E78+E79</f>
        <v>24954533.648451939</v>
      </c>
      <c r="F82" s="403">
        <f>+F58+F78+F79</f>
        <v>25657502.422747664</v>
      </c>
      <c r="H82" s="403">
        <f t="shared" si="9"/>
        <v>0</v>
      </c>
      <c r="I82" s="403">
        <f t="shared" si="9"/>
        <v>0</v>
      </c>
      <c r="J82" s="403">
        <f t="shared" si="9"/>
        <v>0</v>
      </c>
      <c r="K82" s="403">
        <f t="shared" si="9"/>
        <v>2571333.7003662884</v>
      </c>
      <c r="L82" s="403">
        <f t="shared" si="9"/>
        <v>1367321.7340218872</v>
      </c>
      <c r="N82" s="403">
        <v>27225307.661161169</v>
      </c>
      <c r="O82" s="403">
        <v>21507225.600000001</v>
      </c>
      <c r="P82" s="403">
        <v>22802926.589999996</v>
      </c>
      <c r="Q82" s="403">
        <v>22383199.948085651</v>
      </c>
      <c r="R82" s="403">
        <v>24290180.688725777</v>
      </c>
    </row>
    <row r="84" spans="1:18" x14ac:dyDescent="0.2">
      <c r="A84" s="28" t="s">
        <v>284</v>
      </c>
      <c r="B84" s="165">
        <v>-520985</v>
      </c>
      <c r="C84" s="165">
        <f>-592608-343888.66</f>
        <v>-936496.65999999992</v>
      </c>
      <c r="D84" s="165">
        <v>-1512755.27</v>
      </c>
      <c r="E84" s="165">
        <v>-881270.72999999986</v>
      </c>
      <c r="F84" s="165">
        <v>-877049.99999999988</v>
      </c>
    </row>
    <row r="85" spans="1:18" x14ac:dyDescent="0.2">
      <c r="A85" s="28" t="s">
        <v>285</v>
      </c>
      <c r="B85" s="165">
        <v>-6127025</v>
      </c>
      <c r="C85" s="165">
        <v>-3045786</v>
      </c>
      <c r="D85" s="165">
        <v>-3927007.58</v>
      </c>
      <c r="E85" s="165">
        <f>-K.2!E49</f>
        <v>-4435349.9999999991</v>
      </c>
      <c r="F85" s="165">
        <f>-K.2!F49</f>
        <v>-4085975.9108442883</v>
      </c>
    </row>
    <row r="86" spans="1:18" ht="5.0999999999999996" customHeight="1" x14ac:dyDescent="0.2">
      <c r="B86" s="176"/>
      <c r="C86" s="176"/>
      <c r="D86" s="176"/>
      <c r="E86" s="176"/>
      <c r="F86" s="176"/>
    </row>
    <row r="87" spans="1:18" ht="13.5" thickBot="1" x14ac:dyDescent="0.25">
      <c r="A87" s="29" t="s">
        <v>286</v>
      </c>
      <c r="B87" s="404">
        <f t="shared" ref="B87:F87" si="13">SUM(B82:B86)</f>
        <v>20577297.661161169</v>
      </c>
      <c r="C87" s="404">
        <f t="shared" si="13"/>
        <v>17524942.940000001</v>
      </c>
      <c r="D87" s="404">
        <f t="shared" si="13"/>
        <v>17363163.739999995</v>
      </c>
      <c r="E87" s="404">
        <f t="shared" si="13"/>
        <v>19637912.918451939</v>
      </c>
      <c r="F87" s="404">
        <f t="shared" si="13"/>
        <v>20694476.511903375</v>
      </c>
      <c r="G87" s="368"/>
    </row>
    <row r="88" spans="1:18" ht="13.5" thickTop="1" x14ac:dyDescent="0.2">
      <c r="B88" s="174"/>
      <c r="C88" s="174"/>
      <c r="D88" s="174"/>
      <c r="E88" s="174"/>
      <c r="F88" s="174"/>
    </row>
  </sheetData>
  <mergeCells count="5">
    <mergeCell ref="H3:L4"/>
    <mergeCell ref="N3:R4"/>
    <mergeCell ref="B5:D5"/>
    <mergeCell ref="H5:J5"/>
    <mergeCell ref="N5:P5"/>
  </mergeCells>
  <pageMargins left="1" right="0.75" top="0.75" bottom="0.5" header="0.5" footer="0.5"/>
  <pageSetup scale="63" orientation="portrait" r:id="rId1"/>
  <headerFooter>
    <oddFooter>&amp;L&amp;KFF0000Final Rate Application&amp;CPage &amp;P of &amp;N&amp;R02/10/2017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63</vt:i4>
      </vt:variant>
    </vt:vector>
  </HeadingPairs>
  <TitlesOfParts>
    <vt:vector size="110" baseType="lpstr">
      <vt:lpstr>Index</vt:lpstr>
      <vt:lpstr>A</vt:lpstr>
      <vt:lpstr>B</vt:lpstr>
      <vt:lpstr>C</vt:lpstr>
      <vt:lpstr>D</vt:lpstr>
      <vt:lpstr>E</vt:lpstr>
      <vt:lpstr>F.1</vt:lpstr>
      <vt:lpstr>F.2</vt:lpstr>
      <vt:lpstr>F.3</vt:lpstr>
      <vt:lpstr>F.4</vt:lpstr>
      <vt:lpstr>G.1</vt:lpstr>
      <vt:lpstr>G.2</vt:lpstr>
      <vt:lpstr>G.3</vt:lpstr>
      <vt:lpstr>G.4</vt:lpstr>
      <vt:lpstr>H.1</vt:lpstr>
      <vt:lpstr>H.2</vt:lpstr>
      <vt:lpstr>H.3</vt:lpstr>
      <vt:lpstr>I</vt:lpstr>
      <vt:lpstr>J.1</vt:lpstr>
      <vt:lpstr>J.2</vt:lpstr>
      <vt:lpstr>J.3</vt:lpstr>
      <vt:lpstr>K.1</vt:lpstr>
      <vt:lpstr>K.2</vt:lpstr>
      <vt:lpstr>L.1</vt:lpstr>
      <vt:lpstr>L.2</vt:lpstr>
      <vt:lpstr>L.3</vt:lpstr>
      <vt:lpstr>L.4</vt:lpstr>
      <vt:lpstr>L.5</vt:lpstr>
      <vt:lpstr>L.6</vt:lpstr>
      <vt:lpstr>M.1</vt:lpstr>
      <vt:lpstr>M.2</vt:lpstr>
      <vt:lpstr>CS1 RSF</vt:lpstr>
      <vt:lpstr>CS1_B </vt:lpstr>
      <vt:lpstr>CS1_D</vt:lpstr>
      <vt:lpstr>CS1_F.1</vt:lpstr>
      <vt:lpstr>CS1_G.1</vt:lpstr>
      <vt:lpstr>CS1_H.1</vt:lpstr>
      <vt:lpstr>CS1_H.2</vt:lpstr>
      <vt:lpstr>CS1_H.3</vt:lpstr>
      <vt:lpstr>CS2 RSF</vt:lpstr>
      <vt:lpstr>CS2_B</vt:lpstr>
      <vt:lpstr>CS2_D</vt:lpstr>
      <vt:lpstr>CS2_F.1</vt:lpstr>
      <vt:lpstr>CS2_G.1</vt:lpstr>
      <vt:lpstr>CS2_H.1</vt:lpstr>
      <vt:lpstr>CS2_H.2</vt:lpstr>
      <vt:lpstr>CS2_H.3</vt:lpstr>
      <vt:lpstr>L.1!Freight</vt:lpstr>
      <vt:lpstr>J.3!OS_Disposal</vt:lpstr>
      <vt:lpstr>A!Print_Area</vt:lpstr>
      <vt:lpstr>B!Print_Area</vt:lpstr>
      <vt:lpstr>'CS1_B '!Print_Area</vt:lpstr>
      <vt:lpstr>CS1_D!Print_Area</vt:lpstr>
      <vt:lpstr>CS1_F.1!Print_Area</vt:lpstr>
      <vt:lpstr>CS1_H.1!Print_Area</vt:lpstr>
      <vt:lpstr>CS1_H.2!Print_Area</vt:lpstr>
      <vt:lpstr>CS1_H.3!Print_Area</vt:lpstr>
      <vt:lpstr>CS2_B!Print_Area</vt:lpstr>
      <vt:lpstr>CS2_D!Print_Area</vt:lpstr>
      <vt:lpstr>CS2_F.1!Print_Area</vt:lpstr>
      <vt:lpstr>CS2_H.1!Print_Area</vt:lpstr>
      <vt:lpstr>CS2_H.2!Print_Area</vt:lpstr>
      <vt:lpstr>CS2_H.3!Print_Area</vt:lpstr>
      <vt:lpstr>D!Print_Area</vt:lpstr>
      <vt:lpstr>E!Print_Area</vt:lpstr>
      <vt:lpstr>F.1!Print_Area</vt:lpstr>
      <vt:lpstr>F.2!Print_Area</vt:lpstr>
      <vt:lpstr>F.3!Print_Area</vt:lpstr>
      <vt:lpstr>F.4!Print_Area</vt:lpstr>
      <vt:lpstr>G.1!Print_Area</vt:lpstr>
      <vt:lpstr>G.2!Print_Area</vt:lpstr>
      <vt:lpstr>G.3!Print_Area</vt:lpstr>
      <vt:lpstr>G.4!Print_Area</vt:lpstr>
      <vt:lpstr>H.1!Print_Area</vt:lpstr>
      <vt:lpstr>H.2!Print_Area</vt:lpstr>
      <vt:lpstr>H.3!Print_Area</vt:lpstr>
      <vt:lpstr>I!Print_Area</vt:lpstr>
      <vt:lpstr>Index!Print_Area</vt:lpstr>
      <vt:lpstr>J.1!Print_Area</vt:lpstr>
      <vt:lpstr>J.2!Print_Area</vt:lpstr>
      <vt:lpstr>J.3!Print_Area</vt:lpstr>
      <vt:lpstr>K.1!Print_Area</vt:lpstr>
      <vt:lpstr>K.2!Print_Area</vt:lpstr>
      <vt:lpstr>L.1!Print_Area</vt:lpstr>
      <vt:lpstr>L.2!Print_Area</vt:lpstr>
      <vt:lpstr>L.3!Print_Area</vt:lpstr>
      <vt:lpstr>L.4!Print_Area</vt:lpstr>
      <vt:lpstr>L.5!Print_Area</vt:lpstr>
      <vt:lpstr>L.6!Print_Area</vt:lpstr>
      <vt:lpstr>M.1!Print_Area</vt:lpstr>
      <vt:lpstr>M.2!Print_Area</vt:lpstr>
      <vt:lpstr>B!Print_Titles</vt:lpstr>
      <vt:lpstr>'CS1_B '!Print_Titles</vt:lpstr>
      <vt:lpstr>CS1_D!Print_Titles</vt:lpstr>
      <vt:lpstr>CS2_B!Print_Titles</vt:lpstr>
      <vt:lpstr>CS2_D!Print_Titles</vt:lpstr>
      <vt:lpstr>E!Print_Titles</vt:lpstr>
      <vt:lpstr>F.3!Print_Titles</vt:lpstr>
      <vt:lpstr>F.4!Print_Titles</vt:lpstr>
      <vt:lpstr>G.1!Print_Titles</vt:lpstr>
      <vt:lpstr>H.2!Print_Titles</vt:lpstr>
      <vt:lpstr>J.3!Print_Titles</vt:lpstr>
      <vt:lpstr>K.2!Print_Titles</vt:lpstr>
      <vt:lpstr>L.2!Print_Titles</vt:lpstr>
      <vt:lpstr>L.3!Print_Titles</vt:lpstr>
      <vt:lpstr>L.6!Print_Titles</vt:lpstr>
      <vt:lpstr>F.3!Recy_2009</vt:lpstr>
      <vt:lpstr>F.3!Recy_2010</vt:lpstr>
      <vt:lpstr>K.2!RP_2009</vt:lpstr>
      <vt:lpstr>K.2!RP_2010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Lee</dc:creator>
  <cp:lastModifiedBy>Kenny Lee</cp:lastModifiedBy>
  <cp:lastPrinted>2017-02-10T19:29:17Z</cp:lastPrinted>
  <dcterms:created xsi:type="dcterms:W3CDTF">2017-02-10T18:28:52Z</dcterms:created>
  <dcterms:modified xsi:type="dcterms:W3CDTF">2017-02-11T00:51:37Z</dcterms:modified>
</cp:coreProperties>
</file>